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6.xml" ContentType="application/vnd.ms-excel.controlproperties+xml"/>
  <Override PartName="/xl/ctrlProps/ctrlProp5.xml" ContentType="application/vnd.ms-excel.controlproperties+xml"/>
  <Override PartName="/xl/ctrlProps/ctrlProp4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/>
  <mc:AlternateContent xmlns:mc="http://schemas.openxmlformats.org/markup-compatibility/2006">
    <mc:Choice Requires="x15">
      <x15ac:absPath xmlns:x15ac="http://schemas.microsoft.com/office/spreadsheetml/2010/11/ac" url="C:\Users\SR\Laptop Rauh\5-Referate\1-Landwirtschaft\3-Fachthemen\Umwelt\Klima Kalkulationen\"/>
    </mc:Choice>
  </mc:AlternateContent>
  <xr:revisionPtr revIDLastSave="0" documentId="13_ncr:1_{F5B08381-6027-4AEA-AB1D-E2BA41805F2D}" xr6:coauthVersionLast="47" xr6:coauthVersionMax="47" xr10:uidLastSave="{00000000-0000-0000-0000-000000000000}"/>
  <workbookProtection workbookAlgorithmName="SHA-512" workbookHashValue="C1LiselRwfc7RnjM3hZmiDkTUmEKFAbK80iHN/3bhgT711Lk7I/lyjpfJppHT6myFzc9k/FV8dwyKGReXuWFTA==" workbookSaltValue="NLgdQ/Z6ll7tZy0ga/mo2Q==" workbookSpinCount="100000" lockStructure="1"/>
  <bookViews>
    <workbookView xWindow="-120" yWindow="-120" windowWidth="25440" windowHeight="15390" xr2:uid="{00000000-000D-0000-FFFF-FFFF00000000}"/>
  </bookViews>
  <sheets>
    <sheet name="THG-Rechner Einzelanlage" sheetId="21" r:id="rId1"/>
    <sheet name="Einsparung Branche" sheetId="15" state="hidden" r:id="rId2"/>
    <sheet name="Einsparung Anlage abgeleitet" sheetId="20" state="hidden" r:id="rId3"/>
    <sheet name="Nebenrechungen" sheetId="16" state="hidden" r:id="rId4"/>
    <sheet name="Quellen " sheetId="17" state="hidden" r:id="rId5"/>
    <sheet name="Umrechnung Anteile" sheetId="22" state="hidden" r:id="rId6"/>
    <sheet name="Allokationsformel Strom &amp; Wärme" sheetId="18" state="hidden" r:id="rId7"/>
    <sheet name="Calculation example for biogas " sheetId="19" state="hidden" r:id="rId8"/>
  </sheets>
  <definedNames>
    <definedName name="Bemessungsleistung" localSheetId="2">#REF!</definedName>
    <definedName name="Bemessungsleistung">#REF!</definedName>
    <definedName name="_xlnm.Print_Area" localSheetId="0">'THG-Rechner Einzelanlage'!$A$1:$I$64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1" i="20" l="1"/>
  <c r="C9" i="22" l="1"/>
  <c r="D9" i="22"/>
  <c r="E9" i="22"/>
  <c r="F9" i="22"/>
  <c r="G9" i="22"/>
  <c r="H9" i="22"/>
  <c r="I9" i="22"/>
  <c r="J9" i="22"/>
  <c r="K9" i="22"/>
  <c r="L9" i="22"/>
  <c r="D8" i="22"/>
  <c r="E8" i="22"/>
  <c r="F8" i="22"/>
  <c r="G8" i="22"/>
  <c r="H8" i="22"/>
  <c r="I8" i="22"/>
  <c r="J8" i="22"/>
  <c r="K8" i="22"/>
  <c r="L8" i="22"/>
  <c r="C8" i="22"/>
  <c r="N24" i="22"/>
  <c r="R24" i="22"/>
  <c r="B19" i="22"/>
  <c r="C24" i="22" s="1"/>
  <c r="B18" i="22"/>
  <c r="D23" i="22" s="1"/>
  <c r="E13" i="20"/>
  <c r="B13" i="20"/>
  <c r="E30" i="21"/>
  <c r="B31" i="20" s="1"/>
  <c r="E31" i="20" s="1"/>
  <c r="E29" i="21"/>
  <c r="B30" i="20" s="1"/>
  <c r="E30" i="20" s="1"/>
  <c r="E28" i="21"/>
  <c r="B29" i="20" s="1"/>
  <c r="E20" i="20"/>
  <c r="E19" i="20"/>
  <c r="E25" i="21"/>
  <c r="B18" i="20" s="1"/>
  <c r="E24" i="21"/>
  <c r="B12" i="20"/>
  <c r="B16" i="20" s="1"/>
  <c r="E12" i="20"/>
  <c r="E16" i="20" s="1"/>
  <c r="E22" i="21"/>
  <c r="E87" i="20"/>
  <c r="E65" i="20"/>
  <c r="E64" i="20"/>
  <c r="D87" i="20"/>
  <c r="D37" i="20"/>
  <c r="D65" i="20" s="1"/>
  <c r="D36" i="20"/>
  <c r="D64" i="20" s="1"/>
  <c r="D34" i="20"/>
  <c r="D62" i="20" s="1"/>
  <c r="D35" i="20"/>
  <c r="E35" i="20" s="1"/>
  <c r="E63" i="20" s="1"/>
  <c r="D33" i="20"/>
  <c r="E33" i="20" s="1"/>
  <c r="E61" i="20" s="1"/>
  <c r="D31" i="20"/>
  <c r="D30" i="20"/>
  <c r="D29" i="20"/>
  <c r="D19" i="20"/>
  <c r="D20" i="20"/>
  <c r="D18" i="20"/>
  <c r="D15" i="20"/>
  <c r="E40" i="15"/>
  <c r="D57" i="15"/>
  <c r="D58" i="15"/>
  <c r="E58" i="15" s="1"/>
  <c r="D59" i="15"/>
  <c r="D60" i="15"/>
  <c r="D61" i="15"/>
  <c r="D55" i="15"/>
  <c r="D83" i="15" s="1"/>
  <c r="D19" i="15"/>
  <c r="D20" i="15" s="1"/>
  <c r="D21" i="15" s="1"/>
  <c r="D22" i="15" s="1"/>
  <c r="D42" i="15" s="1"/>
  <c r="C21" i="20"/>
  <c r="C16" i="20"/>
  <c r="C12" i="20" s="1"/>
  <c r="D12" i="20" s="1"/>
  <c r="C14" i="19"/>
  <c r="D6" i="19" s="1"/>
  <c r="B26" i="18"/>
  <c r="C19" i="15"/>
  <c r="C20" i="15" s="1"/>
  <c r="C65" i="20"/>
  <c r="B65" i="20"/>
  <c r="E40" i="21" s="1"/>
  <c r="C64" i="20"/>
  <c r="B64" i="20"/>
  <c r="E35" i="21" s="1"/>
  <c r="C63" i="20"/>
  <c r="B63" i="20"/>
  <c r="C62" i="20"/>
  <c r="B62" i="20"/>
  <c r="C61" i="20"/>
  <c r="C87" i="20"/>
  <c r="B87" i="20"/>
  <c r="C55" i="15"/>
  <c r="C83" i="15" s="1"/>
  <c r="E83" i="15" s="1"/>
  <c r="B55" i="15"/>
  <c r="B83" i="15" s="1"/>
  <c r="B58" i="15"/>
  <c r="C58" i="15"/>
  <c r="B59" i="15"/>
  <c r="C59" i="15"/>
  <c r="E59" i="15" s="1"/>
  <c r="B60" i="15"/>
  <c r="C60" i="15"/>
  <c r="E60" i="15" s="1"/>
  <c r="B61" i="15"/>
  <c r="C61" i="15"/>
  <c r="E61" i="15" s="1"/>
  <c r="C57" i="15"/>
  <c r="E57" i="15" s="1"/>
  <c r="B57" i="15"/>
  <c r="C15" i="19"/>
  <c r="E14" i="19"/>
  <c r="B37" i="18"/>
  <c r="B19" i="15"/>
  <c r="C28" i="19"/>
  <c r="E29" i="20" l="1"/>
  <c r="E14" i="20"/>
  <c r="B23" i="20"/>
  <c r="B24" i="20" s="1"/>
  <c r="B26" i="20" s="1"/>
  <c r="D21" i="20"/>
  <c r="B14" i="20"/>
  <c r="B19" i="20"/>
  <c r="J24" i="22"/>
  <c r="H24" i="22"/>
  <c r="V24" i="22"/>
  <c r="F24" i="22"/>
  <c r="T24" i="22"/>
  <c r="D24" i="22"/>
  <c r="D27" i="22" s="1"/>
  <c r="D5" i="22" s="1"/>
  <c r="P24" i="22"/>
  <c r="P27" i="22" s="1"/>
  <c r="P5" i="22" s="1"/>
  <c r="F11" i="22" s="1"/>
  <c r="E55" i="15"/>
  <c r="L24" i="22"/>
  <c r="B20" i="20"/>
  <c r="B24" i="22"/>
  <c r="U24" i="22"/>
  <c r="S24" i="22"/>
  <c r="Q24" i="22"/>
  <c r="O24" i="22"/>
  <c r="M24" i="22"/>
  <c r="K24" i="22"/>
  <c r="I24" i="22"/>
  <c r="G24" i="22"/>
  <c r="E24" i="22"/>
  <c r="U23" i="22"/>
  <c r="U27" i="22" s="1"/>
  <c r="U5" i="22" s="1"/>
  <c r="K11" i="22" s="1"/>
  <c r="S23" i="22"/>
  <c r="Q23" i="22"/>
  <c r="Q27" i="22" s="1"/>
  <c r="Q5" i="22" s="1"/>
  <c r="G11" i="22" s="1"/>
  <c r="O23" i="22"/>
  <c r="M23" i="22"/>
  <c r="K23" i="22"/>
  <c r="I23" i="22"/>
  <c r="I27" i="22" s="1"/>
  <c r="G23" i="22"/>
  <c r="E23" i="22"/>
  <c r="E27" i="22" s="1"/>
  <c r="E5" i="22" s="1"/>
  <c r="C23" i="22"/>
  <c r="C27" i="22" s="1"/>
  <c r="C5" i="22" s="1"/>
  <c r="B23" i="22"/>
  <c r="B27" i="22" s="1"/>
  <c r="B5" i="22" s="1"/>
  <c r="V23" i="22"/>
  <c r="T23" i="22"/>
  <c r="R23" i="22"/>
  <c r="R28" i="22" s="1"/>
  <c r="R6" i="22" s="1"/>
  <c r="H12" i="22" s="1"/>
  <c r="P23" i="22"/>
  <c r="N23" i="22"/>
  <c r="N28" i="22" s="1"/>
  <c r="N6" i="22" s="1"/>
  <c r="D12" i="22" s="1"/>
  <c r="L23" i="22"/>
  <c r="L27" i="22" s="1"/>
  <c r="L5" i="22" s="1"/>
  <c r="J23" i="22"/>
  <c r="J27" i="22" s="1"/>
  <c r="J5" i="22" s="1"/>
  <c r="H23" i="22"/>
  <c r="H27" i="22" s="1"/>
  <c r="H5" i="22" s="1"/>
  <c r="F23" i="22"/>
  <c r="F27" i="22" s="1"/>
  <c r="F5" i="22" s="1"/>
  <c r="M27" i="22"/>
  <c r="V27" i="22"/>
  <c r="V5" i="22" s="1"/>
  <c r="L11" i="22" s="1"/>
  <c r="T27" i="22"/>
  <c r="T5" i="22" s="1"/>
  <c r="J11" i="22" s="1"/>
  <c r="R27" i="22"/>
  <c r="R5" i="22" s="1"/>
  <c r="H11" i="22" s="1"/>
  <c r="M5" i="22"/>
  <c r="C11" i="22" s="1"/>
  <c r="I5" i="22"/>
  <c r="K28" i="22"/>
  <c r="K6" i="22" s="1"/>
  <c r="G28" i="22"/>
  <c r="G6" i="22" s="1"/>
  <c r="E31" i="21"/>
  <c r="G31" i="21" s="1"/>
  <c r="E18" i="20"/>
  <c r="E21" i="20"/>
  <c r="E34" i="20"/>
  <c r="E62" i="20" s="1"/>
  <c r="D63" i="20"/>
  <c r="D61" i="20"/>
  <c r="D16" i="20"/>
  <c r="D65" i="15"/>
  <c r="C21" i="15"/>
  <c r="C22" i="15" s="1"/>
  <c r="D43" i="15"/>
  <c r="D37" i="15"/>
  <c r="D70" i="15"/>
  <c r="D41" i="15"/>
  <c r="D71" i="15"/>
  <c r="D69" i="15"/>
  <c r="D66" i="15"/>
  <c r="D64" i="15"/>
  <c r="D38" i="15"/>
  <c r="D36" i="15"/>
  <c r="C13" i="20"/>
  <c r="B16" i="16"/>
  <c r="C42" i="15"/>
  <c r="E42" i="15" s="1"/>
  <c r="C41" i="15"/>
  <c r="E41" i="15" s="1"/>
  <c r="C64" i="15"/>
  <c r="E64" i="15" s="1"/>
  <c r="C69" i="15"/>
  <c r="C43" i="15"/>
  <c r="C71" i="15"/>
  <c r="C70" i="15"/>
  <c r="C65" i="15"/>
  <c r="C66" i="15"/>
  <c r="C36" i="15"/>
  <c r="E36" i="15" s="1"/>
  <c r="C37" i="15"/>
  <c r="E37" i="15" s="1"/>
  <c r="C38" i="15"/>
  <c r="E38" i="15" s="1"/>
  <c r="B70" i="20" l="1"/>
  <c r="B68" i="20"/>
  <c r="B69" i="20"/>
  <c r="E23" i="20"/>
  <c r="E24" i="20" s="1"/>
  <c r="B40" i="20"/>
  <c r="B42" i="20"/>
  <c r="B41" i="20"/>
  <c r="D13" i="20"/>
  <c r="D23" i="20" s="1"/>
  <c r="D24" i="20" s="1"/>
  <c r="C23" i="20"/>
  <c r="C24" i="20" s="1"/>
  <c r="B21" i="20"/>
  <c r="B22" i="20" s="1"/>
  <c r="B25" i="20" s="1"/>
  <c r="E65" i="15"/>
  <c r="P28" i="22"/>
  <c r="P6" i="22" s="1"/>
  <c r="F12" i="22" s="1"/>
  <c r="E71" i="15"/>
  <c r="T28" i="22"/>
  <c r="T6" i="22" s="1"/>
  <c r="J12" i="22" s="1"/>
  <c r="N27" i="22"/>
  <c r="N5" i="22" s="1"/>
  <c r="D11" i="22" s="1"/>
  <c r="V28" i="22"/>
  <c r="V6" i="22" s="1"/>
  <c r="L12" i="22" s="1"/>
  <c r="M28" i="22"/>
  <c r="M6" i="22" s="1"/>
  <c r="C12" i="22" s="1"/>
  <c r="E69" i="15"/>
  <c r="D28" i="22"/>
  <c r="D6" i="22" s="1"/>
  <c r="E22" i="20"/>
  <c r="E25" i="20" s="1"/>
  <c r="O28" i="22"/>
  <c r="O6" i="22" s="1"/>
  <c r="E12" i="22" s="1"/>
  <c r="S28" i="22"/>
  <c r="S6" i="22" s="1"/>
  <c r="I12" i="22" s="1"/>
  <c r="E28" i="22"/>
  <c r="E6" i="22" s="1"/>
  <c r="I28" i="22"/>
  <c r="I6" i="22" s="1"/>
  <c r="O27" i="22"/>
  <c r="O5" i="22" s="1"/>
  <c r="E11" i="22" s="1"/>
  <c r="S27" i="22"/>
  <c r="S5" i="22" s="1"/>
  <c r="I11" i="22" s="1"/>
  <c r="F28" i="22"/>
  <c r="F6" i="22" s="1"/>
  <c r="J28" i="22"/>
  <c r="J6" i="22" s="1"/>
  <c r="G27" i="22"/>
  <c r="G5" i="22" s="1"/>
  <c r="K27" i="22"/>
  <c r="K5" i="22" s="1"/>
  <c r="Q28" i="22"/>
  <c r="Q6" i="22" s="1"/>
  <c r="G12" i="22" s="1"/>
  <c r="U28" i="22"/>
  <c r="U6" i="22" s="1"/>
  <c r="K12" i="22" s="1"/>
  <c r="C28" i="22"/>
  <c r="C6" i="22" s="1"/>
  <c r="H28" i="22"/>
  <c r="H6" i="22" s="1"/>
  <c r="L28" i="22"/>
  <c r="L6" i="22" s="1"/>
  <c r="B28" i="22"/>
  <c r="B6" i="22" s="1"/>
  <c r="E66" i="15"/>
  <c r="E70" i="15"/>
  <c r="E43" i="15"/>
  <c r="D44" i="15"/>
  <c r="D49" i="15" s="1"/>
  <c r="D50" i="15" s="1"/>
  <c r="D39" i="15"/>
  <c r="D47" i="15" s="1"/>
  <c r="D48" i="15" s="1"/>
  <c r="D67" i="15"/>
  <c r="D75" i="15" s="1"/>
  <c r="D72" i="15"/>
  <c r="D77" i="15" s="1"/>
  <c r="C22" i="20"/>
  <c r="C14" i="20"/>
  <c r="D14" i="20" s="1"/>
  <c r="C44" i="15"/>
  <c r="C72" i="15"/>
  <c r="C67" i="15"/>
  <c r="C39" i="15"/>
  <c r="B71" i="20" l="1"/>
  <c r="E26" i="20"/>
  <c r="E46" i="20" s="1"/>
  <c r="E69" i="20"/>
  <c r="E70" i="20"/>
  <c r="E41" i="20"/>
  <c r="B43" i="20"/>
  <c r="E68" i="20"/>
  <c r="D26" i="20"/>
  <c r="D70" i="20"/>
  <c r="D41" i="20"/>
  <c r="D68" i="20"/>
  <c r="D42" i="20"/>
  <c r="D69" i="20"/>
  <c r="D40" i="20"/>
  <c r="E40" i="20"/>
  <c r="E42" i="20"/>
  <c r="C70" i="20"/>
  <c r="C68" i="20"/>
  <c r="C41" i="20"/>
  <c r="C42" i="20"/>
  <c r="C40" i="20"/>
  <c r="C69" i="20"/>
  <c r="C26" i="20"/>
  <c r="D22" i="20"/>
  <c r="C25" i="20"/>
  <c r="D53" i="15"/>
  <c r="D54" i="15"/>
  <c r="C47" i="15"/>
  <c r="E47" i="15" s="1"/>
  <c r="E39" i="15"/>
  <c r="C77" i="15"/>
  <c r="E77" i="15" s="1"/>
  <c r="E72" i="15"/>
  <c r="C75" i="15"/>
  <c r="E75" i="15" s="1"/>
  <c r="L12" i="15" s="1"/>
  <c r="E67" i="15"/>
  <c r="C49" i="15"/>
  <c r="C50" i="15" s="1"/>
  <c r="E50" i="15" s="1"/>
  <c r="E44" i="15"/>
  <c r="D81" i="15"/>
  <c r="D76" i="15"/>
  <c r="D82" i="15"/>
  <c r="D78" i="15"/>
  <c r="C76" i="15"/>
  <c r="C78" i="15"/>
  <c r="E78" i="15" s="1"/>
  <c r="B74" i="20" l="1"/>
  <c r="E71" i="20"/>
  <c r="E79" i="20" s="1"/>
  <c r="C48" i="15"/>
  <c r="E48" i="15" s="1"/>
  <c r="D85" i="15"/>
  <c r="E76" i="15"/>
  <c r="M12" i="15" s="1"/>
  <c r="E75" i="20"/>
  <c r="E47" i="20"/>
  <c r="E43" i="20"/>
  <c r="E51" i="20" s="1"/>
  <c r="E52" i="20" s="1"/>
  <c r="E73" i="20"/>
  <c r="E45" i="20"/>
  <c r="E74" i="20"/>
  <c r="C82" i="15"/>
  <c r="E82" i="15" s="1"/>
  <c r="C53" i="15"/>
  <c r="E53" i="15" s="1"/>
  <c r="C81" i="15"/>
  <c r="E81" i="15" s="1"/>
  <c r="C54" i="15"/>
  <c r="E54" i="15" s="1"/>
  <c r="E49" i="15"/>
  <c r="B45" i="20" l="1"/>
  <c r="B51" i="20"/>
  <c r="B57" i="20" s="1"/>
  <c r="B73" i="20"/>
  <c r="B47" i="20"/>
  <c r="B75" i="20"/>
  <c r="B46" i="20"/>
  <c r="B79" i="20"/>
  <c r="B85" i="20" s="1"/>
  <c r="E34" i="21"/>
  <c r="E36" i="21" s="1"/>
  <c r="E37" i="21" s="1"/>
  <c r="E48" i="20"/>
  <c r="E53" i="20" s="1"/>
  <c r="E58" i="20" s="1"/>
  <c r="C85" i="15"/>
  <c r="E85" i="15" s="1"/>
  <c r="K12" i="15" s="1"/>
  <c r="E76" i="20"/>
  <c r="E81" i="20" s="1"/>
  <c r="E86" i="20" s="1"/>
  <c r="E57" i="20"/>
  <c r="E85" i="20"/>
  <c r="E80" i="20"/>
  <c r="B1" i="16"/>
  <c r="B3" i="16" s="1"/>
  <c r="B14" i="19"/>
  <c r="B38" i="18"/>
  <c r="B20" i="15"/>
  <c r="B21" i="15" s="1"/>
  <c r="B28" i="19"/>
  <c r="B27" i="19"/>
  <c r="D5" i="19" s="1"/>
  <c r="F5" i="19" s="1"/>
  <c r="C20" i="19"/>
  <c r="B20" i="19"/>
  <c r="C17" i="19"/>
  <c r="E11" i="19" s="1"/>
  <c r="G11" i="19" s="1"/>
  <c r="B17" i="19"/>
  <c r="C16" i="19"/>
  <c r="E6" i="19" s="1"/>
  <c r="G6" i="19" s="1"/>
  <c r="B16" i="19"/>
  <c r="E5" i="19" s="1"/>
  <c r="G5" i="19" s="1"/>
  <c r="H11" i="19"/>
  <c r="I11" i="19" s="1"/>
  <c r="D11" i="19"/>
  <c r="F11" i="19" s="1"/>
  <c r="H6" i="19"/>
  <c r="I6" i="19" s="1"/>
  <c r="F6" i="19"/>
  <c r="B76" i="20" l="1"/>
  <c r="B81" i="20" s="1"/>
  <c r="B82" i="20" s="1"/>
  <c r="B48" i="20"/>
  <c r="B53" i="20" s="1"/>
  <c r="B58" i="20" s="1"/>
  <c r="B52" i="20"/>
  <c r="B80" i="20"/>
  <c r="H10" i="19"/>
  <c r="I10" i="19" s="1"/>
  <c r="E54" i="20"/>
  <c r="H5" i="19"/>
  <c r="I5" i="19" s="1"/>
  <c r="B15" i="19"/>
  <c r="D10" i="19" s="1"/>
  <c r="F10" i="19" s="1"/>
  <c r="E10" i="19"/>
  <c r="G10" i="19" s="1"/>
  <c r="E82" i="20"/>
  <c r="E89" i="20"/>
  <c r="B64" i="15"/>
  <c r="B22" i="15"/>
  <c r="B66" i="15"/>
  <c r="B65" i="15"/>
  <c r="B36" i="15"/>
  <c r="B37" i="15"/>
  <c r="B38" i="15"/>
  <c r="B7" i="16"/>
  <c r="B8" i="16" s="1"/>
  <c r="B9" i="16" s="1"/>
  <c r="B10" i="16" s="1"/>
  <c r="B11" i="16" s="1"/>
  <c r="B12" i="16" s="1"/>
  <c r="E39" i="21" l="1"/>
  <c r="E41" i="21" s="1"/>
  <c r="E42" i="21" s="1"/>
  <c r="B86" i="20"/>
  <c r="B89" i="20" s="1"/>
  <c r="E44" i="21" s="1"/>
  <c r="E48" i="21" s="1"/>
  <c r="B54" i="20"/>
  <c r="B70" i="15"/>
  <c r="B42" i="15"/>
  <c r="B71" i="15"/>
  <c r="B41" i="15"/>
  <c r="B69" i="15"/>
  <c r="B43" i="15"/>
  <c r="B39" i="15"/>
  <c r="B47" i="15" s="1"/>
  <c r="B67" i="15"/>
  <c r="B75" i="15" s="1"/>
  <c r="D25" i="20"/>
  <c r="B72" i="15" l="1"/>
  <c r="B77" i="15" s="1"/>
  <c r="B78" i="15" s="1"/>
  <c r="E46" i="21"/>
  <c r="E47" i="21" s="1"/>
  <c r="B76" i="15"/>
  <c r="B81" i="15"/>
  <c r="B48" i="15"/>
  <c r="B53" i="15"/>
  <c r="B44" i="15"/>
  <c r="B49" i="15" s="1"/>
  <c r="B82" i="15" l="1"/>
  <c r="B85" i="15" s="1"/>
  <c r="D71" i="20"/>
  <c r="D79" i="20" s="1"/>
  <c r="D80" i="20" s="1"/>
  <c r="D47" i="20"/>
  <c r="D74" i="20"/>
  <c r="D46" i="20"/>
  <c r="D45" i="20"/>
  <c r="D75" i="20"/>
  <c r="D73" i="20"/>
  <c r="D43" i="20"/>
  <c r="D51" i="20" s="1"/>
  <c r="B50" i="15"/>
  <c r="B54" i="15"/>
  <c r="C46" i="20"/>
  <c r="C74" i="20"/>
  <c r="C45" i="20"/>
  <c r="C73" i="20"/>
  <c r="C47" i="20"/>
  <c r="C75" i="20"/>
  <c r="C71" i="20"/>
  <c r="C79" i="20" s="1"/>
  <c r="C43" i="20"/>
  <c r="C51" i="20" s="1"/>
  <c r="C57" i="20" s="1"/>
  <c r="D85" i="20" l="1"/>
  <c r="D76" i="20"/>
  <c r="D81" i="20" s="1"/>
  <c r="D86" i="20" s="1"/>
  <c r="D48" i="20"/>
  <c r="D53" i="20" s="1"/>
  <c r="D54" i="20" s="1"/>
  <c r="D52" i="20"/>
  <c r="D57" i="20"/>
  <c r="B15" i="16"/>
  <c r="B17" i="16" s="1"/>
  <c r="B18" i="16" s="1"/>
  <c r="C85" i="20"/>
  <c r="C80" i="20"/>
  <c r="C52" i="20"/>
  <c r="C48" i="20"/>
  <c r="C53" i="20" s="1"/>
  <c r="C58" i="20" s="1"/>
  <c r="C76" i="20"/>
  <c r="C81" i="20" s="1"/>
  <c r="C86" i="20" s="1"/>
  <c r="D89" i="20" l="1"/>
  <c r="D82" i="20"/>
  <c r="D58" i="20"/>
  <c r="C89" i="20"/>
  <c r="C82" i="20"/>
  <c r="C54" i="2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Julia Münch</author>
  </authors>
  <commentList>
    <comment ref="A3" authorId="0" shapeId="0" xr:uid="{00000000-0006-0000-0700-000001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Power and heat required in the pricess are supplied by the CHP itself</t>
        </r>
      </text>
    </comment>
    <comment ref="B3" authorId="0" shapeId="0" xr:uid="{00000000-0006-0000-0700-000002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Default values: Processing and Enging figures are increased by 40%</t>
        </r>
      </text>
    </comment>
    <comment ref="D4" authorId="0" shapeId="0" xr:uid="{00000000-0006-0000-0700-000003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Berechnung siehe Blatt "Allokation nach Strom und Wärme"</t>
        </r>
      </text>
    </comment>
    <comment ref="E4" authorId="0" shapeId="0" xr:uid="{00000000-0006-0000-0700-000004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Berechnung siehe Blatt "Allokation nach Strom und Wärme"</t>
        </r>
      </text>
    </comment>
    <comment ref="A8" authorId="0" shapeId="0" xr:uid="{00000000-0006-0000-0700-000005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Power and heat required in the pricess are supplied by the CHP itself</t>
        </r>
      </text>
    </comment>
    <comment ref="B8" authorId="0" shapeId="0" xr:uid="{00000000-0006-0000-0700-000006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Default values: Processing and Enging figures are increased by 40%</t>
        </r>
      </text>
    </comment>
    <comment ref="D9" authorId="0" shapeId="0" xr:uid="{00000000-0006-0000-0700-000007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Berechnung siehe Blatt "Allokation nach Strom und Wärme"</t>
        </r>
      </text>
    </comment>
    <comment ref="E9" authorId="0" shapeId="0" xr:uid="{00000000-0006-0000-0700-000008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Berechnung siehe Blatt "Allokation nach Strom und Wärme"</t>
        </r>
      </text>
    </comment>
    <comment ref="A16" authorId="0" shapeId="0" xr:uid="{00000000-0006-0000-0700-000009000000}">
      <text>
        <r>
          <rPr>
            <b/>
            <sz val="9"/>
            <color indexed="81"/>
            <rFont val="Segoe UI"/>
            <family val="2"/>
          </rPr>
          <t>Julia Münch:</t>
        </r>
        <r>
          <rPr>
            <sz val="9"/>
            <color indexed="81"/>
            <rFont val="Segoe UI"/>
            <family val="2"/>
          </rPr>
          <t xml:space="preserve">
Bei 50% Wärmenutzung</t>
        </r>
      </text>
    </comment>
    <comment ref="B23" authorId="0" shapeId="0" xr:uid="{00000000-0006-0000-0700-00000A000000}">
      <text>
        <r>
          <rPr>
            <b/>
            <sz val="9"/>
            <color indexed="81"/>
            <rFont val="Tahoma"/>
            <family val="2"/>
          </rPr>
          <t>Julia Münch:</t>
        </r>
        <r>
          <rPr>
            <sz val="9"/>
            <color indexed="81"/>
            <rFont val="Tahoma"/>
            <family val="2"/>
          </rPr>
          <t xml:space="preserve">
Exergy in the electricity set to 100%
</t>
        </r>
      </text>
    </comment>
    <comment ref="C23" authorId="0" shapeId="0" xr:uid="{00000000-0006-0000-0700-00000B000000}">
      <text>
        <r>
          <rPr>
            <b/>
            <sz val="9"/>
            <color indexed="81"/>
            <rFont val="Tahoma"/>
            <family val="2"/>
          </rPr>
          <t>Julia Münch:</t>
        </r>
        <r>
          <rPr>
            <sz val="9"/>
            <color indexed="81"/>
            <rFont val="Tahoma"/>
            <family val="2"/>
          </rPr>
          <t xml:space="preserve">
Exergy in the electricity set to 100%
</t>
        </r>
      </text>
    </comment>
    <comment ref="B24" authorId="0" shapeId="0" xr:uid="{00000000-0006-0000-0700-00000C000000}">
      <text>
        <r>
          <rPr>
            <b/>
            <sz val="9"/>
            <color indexed="81"/>
            <rFont val="Tahoma"/>
            <family val="2"/>
          </rPr>
          <t>Julia Münch:</t>
        </r>
        <r>
          <rPr>
            <sz val="9"/>
            <color indexed="81"/>
            <rFont val="Tahoma"/>
            <family val="2"/>
          </rPr>
          <t xml:space="preserve">
Carnot efficiency upt to 150 °C</t>
        </r>
      </text>
    </comment>
    <comment ref="C24" authorId="0" shapeId="0" xr:uid="{00000000-0006-0000-0700-00000D000000}">
      <text>
        <r>
          <rPr>
            <b/>
            <sz val="9"/>
            <color indexed="81"/>
            <rFont val="Tahoma"/>
            <family val="2"/>
          </rPr>
          <t>Julia Münch:</t>
        </r>
        <r>
          <rPr>
            <sz val="9"/>
            <color indexed="81"/>
            <rFont val="Tahoma"/>
            <family val="2"/>
          </rPr>
          <t xml:space="preserve">
Carnot efficiency upt to 150 °C</t>
        </r>
      </text>
    </comment>
  </commentList>
</comments>
</file>

<file path=xl/sharedStrings.xml><?xml version="1.0" encoding="utf-8"?>
<sst xmlns="http://schemas.openxmlformats.org/spreadsheetml/2006/main" count="376" uniqueCount="234">
  <si>
    <t>THG-Einsparung Branche</t>
  </si>
  <si>
    <t>Annahmen:</t>
  </si>
  <si>
    <t>THG-Einsparung im Kraftstoffbereich nach Kalkulationen des BMWi aufgrund fehlender Grundlage für Substratinput</t>
  </si>
  <si>
    <t>THG-Einsparung im KWK-Bereich anhand Vorgaben EU Kom (RED II) mit Allokationsmethode</t>
  </si>
  <si>
    <t>Allokation nach Strom und Wärme nach COM(2010) 11 v. 25.2.2010, Anhang 1b</t>
  </si>
  <si>
    <t>Für Elektrizität aus Energieanlagen, die Nutzwärme erzeugen</t>
  </si>
  <si>
    <t>Für Elektrizität aus Energieanlagen, die Elektrizität erzeugen</t>
  </si>
  <si>
    <t>wobei:</t>
  </si>
  <si>
    <r>
      <t>C</t>
    </r>
    <r>
      <rPr>
        <vertAlign val="subscript"/>
        <sz val="11"/>
        <color theme="1"/>
        <rFont val="Arial"/>
        <family val="2"/>
        <scheme val="minor"/>
      </rPr>
      <t>el</t>
    </r>
    <r>
      <rPr>
        <sz val="11"/>
        <color theme="1"/>
        <rFont val="Arial"/>
        <family val="2"/>
        <scheme val="minor"/>
      </rPr>
      <t xml:space="preserve"> = Exergieanteil der Elektrizität, festgesetzt auf 100% (C</t>
    </r>
    <r>
      <rPr>
        <vertAlign val="subscript"/>
        <sz val="11"/>
        <color theme="1"/>
        <rFont val="Arial"/>
        <family val="2"/>
        <scheme val="minor"/>
      </rPr>
      <t>el</t>
    </r>
    <r>
      <rPr>
        <sz val="11"/>
        <color theme="1"/>
        <rFont val="Arial"/>
        <family val="2"/>
        <scheme val="minor"/>
      </rPr>
      <t xml:space="preserve"> = 1)</t>
    </r>
  </si>
  <si>
    <r>
      <t>C</t>
    </r>
    <r>
      <rPr>
        <vertAlign val="subscript"/>
        <sz val="11"/>
        <color theme="1"/>
        <rFont val="Arial"/>
        <family val="2"/>
        <scheme val="minor"/>
      </rPr>
      <t>h</t>
    </r>
    <r>
      <rPr>
        <sz val="11"/>
        <color theme="1"/>
        <rFont val="Arial"/>
        <family val="2"/>
        <scheme val="minor"/>
      </rPr>
      <t xml:space="preserve"> = Carnot'scher Wirkungsgrad (Exergieanteil der Nutzwärme)</t>
    </r>
  </si>
  <si>
    <r>
      <t>C</t>
    </r>
    <r>
      <rPr>
        <vertAlign val="subscript"/>
        <sz val="11"/>
        <color theme="1"/>
        <rFont val="Arial"/>
        <family val="2"/>
        <scheme val="minor"/>
      </rPr>
      <t>h</t>
    </r>
    <r>
      <rPr>
        <sz val="11"/>
        <color theme="1"/>
        <rFont val="Arial"/>
        <family val="2"/>
        <scheme val="minor"/>
      </rPr>
      <t xml:space="preserve"> = (T</t>
    </r>
    <r>
      <rPr>
        <vertAlign val="subscript"/>
        <sz val="11"/>
        <color theme="1"/>
        <rFont val="Arial"/>
        <family val="2"/>
        <scheme val="minor"/>
      </rPr>
      <t>h</t>
    </r>
    <r>
      <rPr>
        <sz val="11"/>
        <color theme="1"/>
        <rFont val="Arial"/>
        <family val="2"/>
        <scheme val="minor"/>
      </rPr>
      <t>-T</t>
    </r>
    <r>
      <rPr>
        <vertAlign val="subscript"/>
        <sz val="11"/>
        <color theme="1"/>
        <rFont val="Arial"/>
        <family val="2"/>
        <scheme val="minor"/>
      </rPr>
      <t>0</t>
    </r>
    <r>
      <rPr>
        <sz val="11"/>
        <color theme="1"/>
        <rFont val="Arial"/>
        <family val="2"/>
        <scheme val="minor"/>
      </rPr>
      <t>)/T</t>
    </r>
    <r>
      <rPr>
        <vertAlign val="subscript"/>
        <sz val="11"/>
        <color theme="1"/>
        <rFont val="Arial"/>
        <family val="2"/>
        <scheme val="minor"/>
      </rPr>
      <t>h</t>
    </r>
  </si>
  <si>
    <r>
      <t>T</t>
    </r>
    <r>
      <rPr>
        <vertAlign val="subscript"/>
        <sz val="11"/>
        <color theme="1"/>
        <rFont val="Arial"/>
        <family val="2"/>
        <scheme val="minor"/>
      </rPr>
      <t>h</t>
    </r>
    <r>
      <rPr>
        <sz val="11"/>
        <color theme="1"/>
        <rFont val="Arial"/>
        <family val="2"/>
        <scheme val="minor"/>
      </rPr>
      <t xml:space="preserve"> = Temperatur der Nutzwärme am Endenergielieferort</t>
    </r>
  </si>
  <si>
    <r>
      <t>T</t>
    </r>
    <r>
      <rPr>
        <vertAlign val="subscript"/>
        <sz val="11"/>
        <color theme="1"/>
        <rFont val="Arial"/>
        <family val="2"/>
        <scheme val="minor"/>
      </rPr>
      <t>0</t>
    </r>
    <r>
      <rPr>
        <sz val="11"/>
        <color theme="1"/>
        <rFont val="Arial"/>
        <family val="2"/>
        <scheme val="minor"/>
      </rPr>
      <t xml:space="preserve"> = Umgebungstemperatur, festgesetzt auf 273 Kelvin (0°C)</t>
    </r>
  </si>
  <si>
    <r>
      <t>Für T</t>
    </r>
    <r>
      <rPr>
        <vertAlign val="subscript"/>
        <sz val="11"/>
        <color theme="1"/>
        <rFont val="Arial"/>
        <family val="2"/>
        <scheme val="minor"/>
      </rPr>
      <t>h</t>
    </r>
    <r>
      <rPr>
        <sz val="11"/>
        <color theme="1"/>
        <rFont val="Arial"/>
        <family val="2"/>
        <scheme val="minor"/>
      </rPr>
      <t xml:space="preserve"> &lt; 150°C is C</t>
    </r>
    <r>
      <rPr>
        <vertAlign val="subscript"/>
        <sz val="11"/>
        <color theme="1"/>
        <rFont val="Arial"/>
        <family val="2"/>
        <scheme val="minor"/>
      </rPr>
      <t>H</t>
    </r>
    <r>
      <rPr>
        <sz val="11"/>
        <color theme="1"/>
        <rFont val="Arial"/>
        <family val="2"/>
        <scheme val="minor"/>
      </rPr>
      <t xml:space="preserve"> wie folgt definiert:</t>
    </r>
  </si>
  <si>
    <r>
      <t>C</t>
    </r>
    <r>
      <rPr>
        <vertAlign val="subscript"/>
        <sz val="11"/>
        <color theme="1"/>
        <rFont val="Arial"/>
        <family val="2"/>
        <scheme val="minor"/>
      </rPr>
      <t>h</t>
    </r>
    <r>
      <rPr>
        <sz val="11"/>
        <color theme="1"/>
        <rFont val="Arial"/>
        <family val="2"/>
        <scheme val="minor"/>
      </rPr>
      <t xml:space="preserve"> = 0,3546</t>
    </r>
  </si>
  <si>
    <t>Für BHKW in Deutschland - Beispielrechnung:</t>
  </si>
  <si>
    <r>
      <t>Wirkungsgrad</t>
    </r>
    <r>
      <rPr>
        <vertAlign val="subscript"/>
        <sz val="11"/>
        <color theme="1"/>
        <rFont val="Arial"/>
        <family val="2"/>
        <scheme val="minor"/>
      </rPr>
      <t>el</t>
    </r>
    <r>
      <rPr>
        <sz val="11"/>
        <color theme="1"/>
        <rFont val="Arial"/>
        <family val="2"/>
        <scheme val="minor"/>
      </rPr>
      <t>:</t>
    </r>
  </si>
  <si>
    <r>
      <t>Wirkungsgrad</t>
    </r>
    <r>
      <rPr>
        <vertAlign val="subscript"/>
        <sz val="11"/>
        <color theme="1"/>
        <rFont val="Arial"/>
        <family val="2"/>
        <scheme val="minor"/>
      </rPr>
      <t>th</t>
    </r>
    <r>
      <rPr>
        <sz val="11"/>
        <color theme="1"/>
        <rFont val="Arial"/>
        <family val="2"/>
        <scheme val="minor"/>
      </rPr>
      <t>:</t>
    </r>
  </si>
  <si>
    <r>
      <t>Effektiver Wirkungsgrad</t>
    </r>
    <r>
      <rPr>
        <vertAlign val="subscript"/>
        <sz val="11"/>
        <color theme="1"/>
        <rFont val="Arial"/>
        <family val="2"/>
        <scheme val="minor"/>
      </rPr>
      <t>th</t>
    </r>
    <r>
      <rPr>
        <sz val="11"/>
        <color theme="1"/>
        <rFont val="Arial"/>
        <family val="2"/>
        <scheme val="minor"/>
      </rPr>
      <t>:</t>
    </r>
  </si>
  <si>
    <t>Wirkungsgrad BHKW:</t>
  </si>
  <si>
    <t>Referenzwert Strom:</t>
  </si>
  <si>
    <t>Referenzwert Wärme:</t>
  </si>
  <si>
    <t>1 MJ</t>
  </si>
  <si>
    <r>
      <t>C</t>
    </r>
    <r>
      <rPr>
        <vertAlign val="subscript"/>
        <sz val="11"/>
        <color theme="1"/>
        <rFont val="Arial"/>
        <family val="2"/>
        <scheme val="minor"/>
      </rPr>
      <t>el</t>
    </r>
  </si>
  <si>
    <r>
      <t>C</t>
    </r>
    <r>
      <rPr>
        <vertAlign val="subscript"/>
        <sz val="11"/>
        <color theme="1"/>
        <rFont val="Arial"/>
        <family val="2"/>
        <scheme val="minor"/>
      </rPr>
      <t>h</t>
    </r>
  </si>
  <si>
    <t>bei 100% Wärmenutzung, Case 2:</t>
  </si>
  <si>
    <t>Allokationsfaktor Strom</t>
  </si>
  <si>
    <t>Allokationsfaktor Wärme</t>
  </si>
  <si>
    <t>Calculation example maize biogas closed digestate</t>
  </si>
  <si>
    <t>50 % Wärmenutzung</t>
  </si>
  <si>
    <t>Default values</t>
  </si>
  <si>
    <r>
      <t>g CO</t>
    </r>
    <r>
      <rPr>
        <b/>
        <i/>
        <vertAlign val="subscript"/>
        <sz val="11"/>
        <color theme="1"/>
        <rFont val="Arial"/>
        <family val="2"/>
        <scheme val="minor"/>
      </rPr>
      <t>2</t>
    </r>
    <r>
      <rPr>
        <b/>
        <i/>
        <sz val="11"/>
        <color theme="1"/>
        <rFont val="Arial"/>
        <family val="2"/>
        <scheme val="minor"/>
      </rPr>
      <t>eq / MJ</t>
    </r>
  </si>
  <si>
    <t>Overall emissions</t>
  </si>
  <si>
    <t>Default value power</t>
  </si>
  <si>
    <t>Default value heat</t>
  </si>
  <si>
    <t>Savings power in %</t>
  </si>
  <si>
    <t>Savings heat in %</t>
  </si>
  <si>
    <t>Default value only power</t>
  </si>
  <si>
    <t>Savings power with no heat use</t>
  </si>
  <si>
    <t>Case  1 - Maize whole plant</t>
  </si>
  <si>
    <t>Closed digestate</t>
  </si>
  <si>
    <t>Case  2 - Maize whole plant</t>
  </si>
  <si>
    <t>100 % Wärmenutzung</t>
  </si>
  <si>
    <t>Case 1</t>
  </si>
  <si>
    <t>Case 2</t>
  </si>
  <si>
    <t>Allocation factor power 50%</t>
  </si>
  <si>
    <t>Allocation factor power 100%</t>
  </si>
  <si>
    <t>Allocation factor heat 50%</t>
  </si>
  <si>
    <t>Allocation factor heat 100%</t>
  </si>
  <si>
    <r>
      <t>Gross efficiency</t>
    </r>
    <r>
      <rPr>
        <vertAlign val="subscript"/>
        <sz val="11"/>
        <color theme="1"/>
        <rFont val="Arial"/>
        <family val="2"/>
        <scheme val="minor"/>
      </rPr>
      <t>el</t>
    </r>
    <r>
      <rPr>
        <sz val="11"/>
        <color theme="1"/>
        <rFont val="Arial"/>
        <family val="2"/>
        <scheme val="minor"/>
      </rPr>
      <t>:</t>
    </r>
  </si>
  <si>
    <r>
      <t>Gross efficiency</t>
    </r>
    <r>
      <rPr>
        <vertAlign val="subscript"/>
        <sz val="11"/>
        <color theme="1"/>
        <rFont val="Arial"/>
        <family val="2"/>
        <scheme val="minor"/>
      </rPr>
      <t>th</t>
    </r>
    <r>
      <rPr>
        <sz val="11"/>
        <color theme="1"/>
        <rFont val="Arial"/>
        <family val="2"/>
        <scheme val="minor"/>
      </rPr>
      <t>:</t>
    </r>
  </si>
  <si>
    <t>Total efficiency CHP:</t>
  </si>
  <si>
    <t>FFC power</t>
  </si>
  <si>
    <t>FFC heat</t>
  </si>
  <si>
    <t>Heat use 50%:</t>
  </si>
  <si>
    <t>Heat use 100%:</t>
  </si>
  <si>
    <r>
      <t>Net efficiency</t>
    </r>
    <r>
      <rPr>
        <vertAlign val="subscript"/>
        <sz val="11"/>
        <color theme="1"/>
        <rFont val="Arial"/>
        <family val="2"/>
        <scheme val="minor"/>
      </rPr>
      <t>el</t>
    </r>
    <r>
      <rPr>
        <sz val="11"/>
        <color theme="1"/>
        <rFont val="Arial"/>
        <family val="2"/>
        <scheme val="minor"/>
      </rPr>
      <t>:</t>
    </r>
  </si>
  <si>
    <r>
      <t>Net efficiency</t>
    </r>
    <r>
      <rPr>
        <vertAlign val="subscript"/>
        <sz val="11"/>
        <color theme="1"/>
        <rFont val="Arial"/>
        <family val="2"/>
        <scheme val="minor"/>
      </rPr>
      <t>th</t>
    </r>
    <r>
      <rPr>
        <sz val="11"/>
        <color theme="1"/>
        <rFont val="Arial"/>
        <family val="2"/>
        <scheme val="minor"/>
      </rPr>
      <t>:</t>
    </r>
  </si>
  <si>
    <t>Electricity from CHP to digester</t>
  </si>
  <si>
    <t>%</t>
  </si>
  <si>
    <t>Internal electricity use</t>
  </si>
  <si>
    <t>Heat from CHP to digester</t>
  </si>
  <si>
    <t>THG-Einsparung nach EU-Kom und eigenen Annahmen</t>
  </si>
  <si>
    <t>Stromerzeugung</t>
  </si>
  <si>
    <t>Stromerzeugung Biogas/Biomethan in TWh</t>
  </si>
  <si>
    <t>Anmerkung: Quelle BMWi 2016 + Zubau nach FvB 2016</t>
  </si>
  <si>
    <t>Wärmeverbrauch im Fermenter in %</t>
  </si>
  <si>
    <t>Wärmeeigenbedarf</t>
  </si>
  <si>
    <t>Wirkungsgrad thermisch</t>
  </si>
  <si>
    <t>Wirkungsgrad elektrisch in %</t>
  </si>
  <si>
    <t>Wirkungsgrad thermisch in %</t>
  </si>
  <si>
    <t>bezogen auf Wärmeerzeugung</t>
  </si>
  <si>
    <t>Abzug Wirkungsgrad</t>
  </si>
  <si>
    <t>Anmerkung: eigene Annahme</t>
  </si>
  <si>
    <t>Anmerkung: eigene Annahme aus Branchenzahlen; bezogen auf angefallene Wärme</t>
  </si>
  <si>
    <t xml:space="preserve">Veränderbare Felder </t>
  </si>
  <si>
    <t>Eigene Werte</t>
  </si>
  <si>
    <t>Resultierender Nettowirkungsgrad thermisch in %</t>
  </si>
  <si>
    <t>Externer Wärmeverbrauch in %</t>
  </si>
  <si>
    <t>Anmerkung: eigene Annahme aus Branchenzahlen; bezogen auf nach Abzug der Fermenterheizung verfügbaren Wärme</t>
  </si>
  <si>
    <t>100 % geschlossene Lagerbehälter; Wärmenutzung aus BHKW; Strom aus öffentlichem Netz</t>
  </si>
  <si>
    <t xml:space="preserve">Resultierender Allokationsfaktor Strom </t>
  </si>
  <si>
    <r>
      <t>EC</t>
    </r>
    <r>
      <rPr>
        <b/>
        <vertAlign val="subscript"/>
        <sz val="11"/>
        <color theme="1"/>
        <rFont val="Arial"/>
        <family val="2"/>
        <scheme val="minor"/>
      </rPr>
      <t>el</t>
    </r>
    <r>
      <rPr>
        <b/>
        <sz val="11"/>
        <color theme="1"/>
        <rFont val="Arial"/>
        <family val="2"/>
        <scheme val="minor"/>
      </rPr>
      <t xml:space="preserve"> = E/</t>
    </r>
    <r>
      <rPr>
        <b/>
        <sz val="11"/>
        <color theme="1"/>
        <rFont val="Calibri"/>
        <family val="2"/>
      </rPr>
      <t>η</t>
    </r>
    <r>
      <rPr>
        <b/>
        <vertAlign val="subscript"/>
        <sz val="11"/>
        <color theme="1"/>
        <rFont val="Calibri"/>
        <family val="2"/>
      </rPr>
      <t>el</t>
    </r>
    <r>
      <rPr>
        <b/>
        <sz val="11"/>
        <color theme="1"/>
        <rFont val="Calibri"/>
        <family val="2"/>
      </rPr>
      <t>/((C</t>
    </r>
    <r>
      <rPr>
        <b/>
        <vertAlign val="subscript"/>
        <sz val="11"/>
        <color theme="1"/>
        <rFont val="Calibri"/>
        <family val="2"/>
      </rPr>
      <t>el*</t>
    </r>
    <r>
      <rPr>
        <b/>
        <sz val="11"/>
        <color theme="1"/>
        <rFont val="Calibri"/>
        <family val="2"/>
      </rPr>
      <t>η</t>
    </r>
    <r>
      <rPr>
        <b/>
        <vertAlign val="subscript"/>
        <sz val="11"/>
        <color theme="1"/>
        <rFont val="Calibri"/>
        <family val="2"/>
      </rPr>
      <t>el</t>
    </r>
    <r>
      <rPr>
        <b/>
        <sz val="11"/>
        <color theme="1"/>
        <rFont val="Calibri"/>
        <family val="2"/>
      </rPr>
      <t>)/((C</t>
    </r>
    <r>
      <rPr>
        <b/>
        <vertAlign val="subscript"/>
        <sz val="11"/>
        <color theme="1"/>
        <rFont val="Calibri"/>
        <family val="2"/>
      </rPr>
      <t>el</t>
    </r>
    <r>
      <rPr>
        <b/>
        <sz val="11"/>
        <color theme="1"/>
        <rFont val="Calibri"/>
        <family val="2"/>
      </rPr>
      <t>*η</t>
    </r>
    <r>
      <rPr>
        <b/>
        <vertAlign val="subscript"/>
        <sz val="11"/>
        <color theme="1"/>
        <rFont val="Calibri"/>
        <family val="2"/>
      </rPr>
      <t>el</t>
    </r>
    <r>
      <rPr>
        <b/>
        <sz val="11"/>
        <color theme="1"/>
        <rFont val="Calibri"/>
        <family val="2"/>
      </rPr>
      <t>)+(C</t>
    </r>
    <r>
      <rPr>
        <b/>
        <vertAlign val="subscript"/>
        <sz val="11"/>
        <color theme="1"/>
        <rFont val="Calibri"/>
        <family val="2"/>
      </rPr>
      <t>h</t>
    </r>
    <r>
      <rPr>
        <b/>
        <sz val="11"/>
        <color theme="1"/>
        <rFont val="Calibri"/>
        <family val="2"/>
      </rPr>
      <t>*η</t>
    </r>
    <r>
      <rPr>
        <b/>
        <vertAlign val="subscript"/>
        <sz val="11"/>
        <color theme="1"/>
        <rFont val="Calibri"/>
        <family val="2"/>
      </rPr>
      <t>h</t>
    </r>
    <r>
      <rPr>
        <b/>
        <sz val="11"/>
        <color theme="1"/>
        <rFont val="Calibri"/>
        <family val="2"/>
      </rPr>
      <t>))</t>
    </r>
  </si>
  <si>
    <r>
      <t>EC</t>
    </r>
    <r>
      <rPr>
        <b/>
        <vertAlign val="subscript"/>
        <sz val="11"/>
        <color theme="1"/>
        <rFont val="Arial"/>
        <family val="2"/>
        <scheme val="minor"/>
      </rPr>
      <t>h</t>
    </r>
    <r>
      <rPr>
        <b/>
        <sz val="11"/>
        <color theme="1"/>
        <rFont val="Arial"/>
        <family val="2"/>
        <scheme val="minor"/>
      </rPr>
      <t xml:space="preserve"> = E/</t>
    </r>
    <r>
      <rPr>
        <b/>
        <sz val="11"/>
        <color theme="1"/>
        <rFont val="Calibri"/>
        <family val="2"/>
      </rPr>
      <t>η</t>
    </r>
    <r>
      <rPr>
        <b/>
        <vertAlign val="subscript"/>
        <sz val="11"/>
        <color theme="1"/>
        <rFont val="Calibri"/>
        <family val="2"/>
      </rPr>
      <t>h</t>
    </r>
    <r>
      <rPr>
        <b/>
        <sz val="11"/>
        <color theme="1"/>
        <rFont val="Calibri"/>
        <family val="2"/>
      </rPr>
      <t>/((C</t>
    </r>
    <r>
      <rPr>
        <b/>
        <vertAlign val="subscript"/>
        <sz val="11"/>
        <color theme="1"/>
        <rFont val="Calibri"/>
        <family val="2"/>
      </rPr>
      <t>h</t>
    </r>
    <r>
      <rPr>
        <b/>
        <sz val="11"/>
        <color theme="1"/>
        <rFont val="Calibri"/>
        <family val="2"/>
      </rPr>
      <t>*η</t>
    </r>
    <r>
      <rPr>
        <b/>
        <vertAlign val="subscript"/>
        <sz val="11"/>
        <color theme="1"/>
        <rFont val="Calibri"/>
        <family val="2"/>
      </rPr>
      <t>h</t>
    </r>
    <r>
      <rPr>
        <b/>
        <sz val="11"/>
        <color theme="1"/>
        <rFont val="Calibri"/>
        <family val="2"/>
      </rPr>
      <t>)/((C</t>
    </r>
    <r>
      <rPr>
        <b/>
        <vertAlign val="subscript"/>
        <sz val="11"/>
        <color theme="1"/>
        <rFont val="Calibri"/>
        <family val="2"/>
      </rPr>
      <t>el</t>
    </r>
    <r>
      <rPr>
        <b/>
        <sz val="11"/>
        <color theme="1"/>
        <rFont val="Calibri"/>
        <family val="2"/>
      </rPr>
      <t>*η</t>
    </r>
    <r>
      <rPr>
        <b/>
        <vertAlign val="subscript"/>
        <sz val="11"/>
        <color theme="1"/>
        <rFont val="Calibri"/>
        <family val="2"/>
      </rPr>
      <t>el</t>
    </r>
    <r>
      <rPr>
        <b/>
        <sz val="11"/>
        <color theme="1"/>
        <rFont val="Calibri"/>
        <family val="2"/>
      </rPr>
      <t>)+(C</t>
    </r>
    <r>
      <rPr>
        <b/>
        <vertAlign val="subscript"/>
        <sz val="11"/>
        <color theme="1"/>
        <rFont val="Calibri"/>
        <family val="2"/>
      </rPr>
      <t>h</t>
    </r>
    <r>
      <rPr>
        <b/>
        <sz val="11"/>
        <color theme="1"/>
        <rFont val="Calibri"/>
        <family val="2"/>
      </rPr>
      <t>*η</t>
    </r>
    <r>
      <rPr>
        <b/>
        <vertAlign val="subscript"/>
        <sz val="11"/>
        <color theme="1"/>
        <rFont val="Calibri"/>
        <family val="2"/>
      </rPr>
      <t>h</t>
    </r>
    <r>
      <rPr>
        <b/>
        <sz val="11"/>
        <color theme="1"/>
        <rFont val="Calibri"/>
        <family val="2"/>
      </rPr>
      <t>))</t>
    </r>
  </si>
  <si>
    <t xml:space="preserve">Resultierender Allokationsfaktor Wärme </t>
  </si>
  <si>
    <t>BMWi 2016</t>
  </si>
  <si>
    <t>FvB 2016</t>
  </si>
  <si>
    <t>Branchenzahlen 2016</t>
  </si>
  <si>
    <t>EU KOM 2016</t>
  </si>
  <si>
    <t>Energetischer Substratmix</t>
  </si>
  <si>
    <t>Anteil Mais / NawaRo</t>
  </si>
  <si>
    <t>UBA 2014</t>
  </si>
  <si>
    <t>Anmerkung: Quelle UBA 2014 auf Basis DBFZ 2013 (Tabelle 40)</t>
  </si>
  <si>
    <t>Anteil Gülle / Exkremente</t>
  </si>
  <si>
    <t>Anteil Abfälle / Reststoffe</t>
  </si>
  <si>
    <t>Standardwert Rohgas Mais / NawaRo in g CO2e/MJ</t>
  </si>
  <si>
    <t>Anmerkung: Quelle EU Kom 2016 (Seite 90)</t>
  </si>
  <si>
    <t>Standardwert Rohgas Gülle / Exkremente in g CO2e/MJ</t>
  </si>
  <si>
    <t>Standardwert Rohgas Abfälle / Reststoffe in g CO2e/MJ</t>
  </si>
  <si>
    <t>Allozierte Werte</t>
  </si>
  <si>
    <t>Emission Strom aus Mais / NawaRo in g CO2eq/MJ</t>
  </si>
  <si>
    <t>Emission Strom aus Gülle / Exkremente in g CO2eq/MJ</t>
  </si>
  <si>
    <t>Emission Strom aus Abfälle / Reststoffe in g CO2eq/MJ</t>
  </si>
  <si>
    <t>Komparator Strom in g CO2eq/MJ</t>
  </si>
  <si>
    <t>Komparator Wärme in g CO2eq/MJ</t>
  </si>
  <si>
    <t>Anmerkung: Quelle EU Kom 2016 (Seite 71); in etwa dt. Strommix, aber nicht fossiler Strommix</t>
  </si>
  <si>
    <t>Anmerkung: Quelle EU Kom 2016 (Seite 71); in etwa dt. Wärmemix fossil</t>
  </si>
  <si>
    <t>Basiseinheit MJ</t>
  </si>
  <si>
    <t>Emission Strom  Mix in g CO2eq/MJ</t>
  </si>
  <si>
    <t>Emission Wärme aus Mais / NawaRo in g CO2eq/MJ</t>
  </si>
  <si>
    <t>Emission Wärme aus Gülle / Exkremente in g CO2eq/MJ</t>
  </si>
  <si>
    <t>Emission Wärme aus Abfälle / Reststoffe in g CO2eq/MJ</t>
  </si>
  <si>
    <t>Emission Wärme  Mix in g CO2eq/MJ</t>
  </si>
  <si>
    <t>Einsparung</t>
  </si>
  <si>
    <t>in %</t>
  </si>
  <si>
    <t>Einsparung Summe</t>
  </si>
  <si>
    <t>Umrechung Stromerzeugung</t>
  </si>
  <si>
    <t>TWh</t>
  </si>
  <si>
    <t>kWh</t>
  </si>
  <si>
    <t>MJ</t>
  </si>
  <si>
    <t>mal 1 mit 9  Nullen</t>
  </si>
  <si>
    <t>mal 3,6</t>
  </si>
  <si>
    <t>Emissionsvermeidung</t>
  </si>
  <si>
    <t>g CO2eq</t>
  </si>
  <si>
    <t>geteilt durch 1 mit 6 Nullen</t>
  </si>
  <si>
    <t>t CO2eq</t>
  </si>
  <si>
    <t>Mio. t CO2eq</t>
  </si>
  <si>
    <t>Basiseinheit kWh</t>
  </si>
  <si>
    <t>Standardwert Rohgas Mais / NawaRo in g CO2eq/kWh</t>
  </si>
  <si>
    <t>Standardwert Rohgas Gülle / Exkremente in g CO2eq/kWh</t>
  </si>
  <si>
    <t>Standardwert Rohgas Abfälle / Reststoffe in g CO2eq/kWh</t>
  </si>
  <si>
    <t>Komparator Strom in g CO2eq/kWh</t>
  </si>
  <si>
    <t>Komparator Wärme in g CO2eq/kWh</t>
  </si>
  <si>
    <t>Emission Strom aus Mais / NawaRo in g CO2eq/kWh</t>
  </si>
  <si>
    <t>Emission Strom aus Gülle / Exkremente in g CO2eq/kWh</t>
  </si>
  <si>
    <t>Emission Strom aus Abfälle / Reststoffe in g CO2eq/kWh</t>
  </si>
  <si>
    <t>Emission Strom  Mix in g CO2eq/kWh</t>
  </si>
  <si>
    <t>Emission Wärme aus Mais / NawaRo in g CO2eq/kWh</t>
  </si>
  <si>
    <t>Emission Wärme aus Gülle / Exkremente in g CO2eq/kWh</t>
  </si>
  <si>
    <t>Emission Wärme aus Abfälle / Reststoffe in g CO2eq/kWh</t>
  </si>
  <si>
    <t>Emission Wärme  Mix in g CO2eq/kWh</t>
  </si>
  <si>
    <t>Ergänzter Wert Emissionen Kraftstoff in Mio. t CO2eq</t>
  </si>
  <si>
    <t>Emissionen Strom in Mio. t CO2eq</t>
  </si>
  <si>
    <t>Emissionen Wärme in Mio. t CO2eq</t>
  </si>
  <si>
    <t>Emissionen Strom in g CO2eq/MJ</t>
  </si>
  <si>
    <t>Emissionen Wärme in g CO2eq/MJ</t>
  </si>
  <si>
    <t xml:space="preserve">Anmerkung: Quelle BMWi 2016 </t>
  </si>
  <si>
    <t>Summe Vermeidung total in Mio. t CO2eq</t>
  </si>
  <si>
    <t>Errechnete Bemessungsleistung in kW</t>
  </si>
  <si>
    <t xml:space="preserve">Anmerkung: Anlagenzahl aus FvB 2016 </t>
  </si>
  <si>
    <t>Stromerzeugung Biogas in kWh</t>
  </si>
  <si>
    <t>Anmerkung: Annahme aus FvB 2016</t>
  </si>
  <si>
    <t>Anlagenzahl</t>
  </si>
  <si>
    <t>WärmenutzungBiogas/Biomethan in TWh</t>
  </si>
  <si>
    <t>Wärmenutzung Biogas in kWh</t>
  </si>
  <si>
    <t>Anmerkung: berechnet auf Bais Wärmenutzung; Branchenzahlen wären 57%; bezogen auf nach Abzug der Fermenterheizung verfügbaren Wärme</t>
  </si>
  <si>
    <t>Ersetzte Liter Heizöl</t>
  </si>
  <si>
    <t>Emissionen Strom in g CO2eq/kWh</t>
  </si>
  <si>
    <t>Emissionen Wärme in g CO2eq/kWh</t>
  </si>
  <si>
    <t>Umrechnung Einzelanlage</t>
  </si>
  <si>
    <t>g/kWh</t>
  </si>
  <si>
    <t>g C02</t>
  </si>
  <si>
    <t>Emissionen Strom in t CO2eq</t>
  </si>
  <si>
    <t>Emissionen Wärme in t CO2eq</t>
  </si>
  <si>
    <t>Summe Vermeidung total in t CO2eq</t>
  </si>
  <si>
    <t>Standardwert gL</t>
  </si>
  <si>
    <t>Standardwert oL</t>
  </si>
  <si>
    <t>Standardwert Mix</t>
  </si>
  <si>
    <t>offene Lager</t>
  </si>
  <si>
    <t>Standardanlage gL</t>
  </si>
  <si>
    <t>Standardanlage oL</t>
  </si>
  <si>
    <t>Eigene Werte gL</t>
  </si>
  <si>
    <t>==&gt; Zusammenfassung Branche</t>
  </si>
  <si>
    <t>Einsparung Emissionen Strom in g CO2eq/kWh</t>
  </si>
  <si>
    <t>Einsparung Emissionen Strom in %</t>
  </si>
  <si>
    <t>20 % offene Lagerbehälter; Wärmenutzung aus BHKW; Strom aus öffentlichem Netz</t>
  </si>
  <si>
    <t>Standardwert von Mais für alle NaWaRo</t>
  </si>
  <si>
    <t>Eigene Werte oL</t>
  </si>
  <si>
    <t>Treibhausgasrechner</t>
  </si>
  <si>
    <t>Dieser Treibhausgasrechner ermöglicht die Abschätzung der Klimaschutzwirkung einer Biogasanlage.</t>
  </si>
  <si>
    <t>© Fachverband Biogas e.V.</t>
  </si>
  <si>
    <t>Bei der Umsetzung des Rechners sind Annahmen des Fachverband Biogas e.V. eingeflossen, die eine einfache Anwendung ermöglichen.</t>
  </si>
  <si>
    <t>Allg. Hinweise:</t>
  </si>
  <si>
    <t>Anwendungshinweise:</t>
  </si>
  <si>
    <t>Eingabedaten</t>
  </si>
  <si>
    <t>Gärproduktlager abgedeckt?</t>
  </si>
  <si>
    <t xml:space="preserve">Stromerzeugung </t>
  </si>
  <si>
    <t>berechnete Bemessungsleistung</t>
  </si>
  <si>
    <t>kW</t>
  </si>
  <si>
    <t>Externe Wärmenutzung</t>
  </si>
  <si>
    <t>ohne Fermenterheizung</t>
  </si>
  <si>
    <t>Liter Heizöl</t>
  </si>
  <si>
    <t>Wirkungsgrad elektrisch</t>
  </si>
  <si>
    <t>Substratmix anpassen!</t>
  </si>
  <si>
    <t>Substratmix korrekt!</t>
  </si>
  <si>
    <t>Ergebnisse</t>
  </si>
  <si>
    <t xml:space="preserve">Geben Sie bitte zuerst an, ob Ihre Gärproduktlager abgedeckt sind. Als nächstes tragen Sie bitte in den blauen Feldern ein, welche Strom- </t>
  </si>
  <si>
    <t>mengen erzeugt und welche Wärmemenge extern genutzt werden. Anschließend bitte mit den Schiebereglern die Situation Ihrer Anlage</t>
  </si>
  <si>
    <t>einstellen. Bitte darauf achten, dass beim Substratmix energetische Anteile anzugeben sind und in Summe 100% einzuhalten sind.</t>
  </si>
  <si>
    <t>THG-Emissionen Biogastrom</t>
  </si>
  <si>
    <t>g CO2eq/kWh</t>
  </si>
  <si>
    <t>THG-Emissionen Vergleichswert Strom</t>
  </si>
  <si>
    <t>relative Einsparung durch Biogasstrom</t>
  </si>
  <si>
    <t>THG-Emissionen Biogawärme</t>
  </si>
  <si>
    <t>THG-Emissionen Vergleichswert Wärme</t>
  </si>
  <si>
    <t>relative Einsparung durch Biogaswärme</t>
  </si>
  <si>
    <t>THG-Einsparung durch Biogasstrom</t>
  </si>
  <si>
    <t>THG-Einsparung durch Biogaswärme</t>
  </si>
  <si>
    <t>THG-Einsparung Biogasanlage</t>
  </si>
  <si>
    <t>Hilfstabelle zur Abschätzung des Substratmixes</t>
  </si>
  <si>
    <t>Energieanteil Gülle</t>
  </si>
  <si>
    <t>Frischmasseanteil Gülle</t>
  </si>
  <si>
    <t>Frischmasseanteil NawaRo</t>
  </si>
  <si>
    <t>Energieertrag NawaRo</t>
  </si>
  <si>
    <t>Energieertrag Gülle</t>
  </si>
  <si>
    <t>Mischwert aus Biomasseverordnung Rindergülle, Schweinegülle, Rindermist, HTK</t>
  </si>
  <si>
    <t>Mischwert aus Biomasseverordnung Mais, Gras, GPS</t>
  </si>
  <si>
    <t>Energieanteil NawaRo</t>
  </si>
  <si>
    <r>
      <t>Tonnen CO</t>
    </r>
    <r>
      <rPr>
        <b/>
        <vertAlign val="subscript"/>
        <sz val="12"/>
        <color theme="4"/>
        <rFont val="Arial"/>
        <family val="2"/>
        <scheme val="minor"/>
      </rPr>
      <t>2eq</t>
    </r>
    <r>
      <rPr>
        <b/>
        <sz val="12"/>
        <color theme="4"/>
        <rFont val="Arial"/>
        <family val="2"/>
        <scheme val="minor"/>
      </rPr>
      <t xml:space="preserve"> pro Jahr</t>
    </r>
  </si>
  <si>
    <t>"Klimaneutrale" Bürger durch diese Anlage</t>
  </si>
  <si>
    <t xml:space="preserve">Quelle: BMUB 2015 </t>
  </si>
  <si>
    <t>Klimaschutz in Zahlen</t>
  </si>
  <si>
    <t>Fakten, Trends und Impulse deutscher Klimapolitik</t>
  </si>
  <si>
    <t>Ausgabe 2015</t>
  </si>
  <si>
    <t>Quelle: https://www.atmosfair.de/de/kompensieren/flug</t>
  </si>
  <si>
    <t>"Klimaneutrale" Flüge nach New York und zurück</t>
  </si>
  <si>
    <t>Anzahl "klimaneutral" Autos (Mittelklasse 12.000 km)</t>
  </si>
  <si>
    <t>http://www.uba.co2-rechner.de</t>
  </si>
  <si>
    <t>Beachten Sie hierzu auch die Hilfstabelle am Ende des Dokuments!</t>
  </si>
  <si>
    <t>Beispiel: Frischmasseanteil an Gülle von 35 % bedeutet einen Energieanteil von 13%</t>
  </si>
  <si>
    <t>Nutzungsgrad thermisch %</t>
  </si>
  <si>
    <t>nicht genutzt</t>
  </si>
  <si>
    <t xml:space="preserve">Basis der Kalkulation sind die Rechenregeln aus der Erneuerbare-Energien-Richtlinie II (RED II) </t>
  </si>
  <si>
    <t>berechneter Heizölersatz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</si>
</sst>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%"/>
    <numFmt numFmtId="166" formatCode="0.0000"/>
  </numFmts>
  <fonts count="48" x14ac:knownFonts="1">
    <font>
      <sz val="11"/>
      <color theme="1"/>
      <name val="Arial"/>
      <family val="2"/>
      <scheme val="minor"/>
    </font>
    <font>
      <sz val="10"/>
      <color theme="1"/>
      <name val="Arial"/>
      <family val="2"/>
    </font>
    <font>
      <b/>
      <sz val="13"/>
      <color theme="3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</font>
    <font>
      <b/>
      <u/>
      <sz val="14"/>
      <color theme="1"/>
      <name val="Arial"/>
      <family val="2"/>
    </font>
    <font>
      <b/>
      <sz val="13"/>
      <name val="Arial"/>
      <family val="2"/>
      <scheme val="minor"/>
    </font>
    <font>
      <b/>
      <vertAlign val="subscript"/>
      <sz val="11"/>
      <color theme="1"/>
      <name val="Arial"/>
      <family val="2"/>
      <scheme val="minor"/>
    </font>
    <font>
      <b/>
      <sz val="11"/>
      <color theme="1"/>
      <name val="Calibri"/>
      <family val="2"/>
    </font>
    <font>
      <b/>
      <vertAlign val="subscript"/>
      <sz val="11"/>
      <color theme="1"/>
      <name val="Calibri"/>
      <family val="2"/>
    </font>
    <font>
      <vertAlign val="subscript"/>
      <sz val="11"/>
      <color theme="1"/>
      <name val="Arial"/>
      <family val="2"/>
      <scheme val="minor"/>
    </font>
    <font>
      <b/>
      <sz val="13"/>
      <color theme="1"/>
      <name val="Arial"/>
      <family val="2"/>
      <scheme val="minor"/>
    </font>
    <font>
      <b/>
      <i/>
      <sz val="11"/>
      <color theme="1"/>
      <name val="Arial"/>
      <family val="2"/>
      <scheme val="minor"/>
    </font>
    <font>
      <b/>
      <i/>
      <vertAlign val="subscript"/>
      <sz val="11"/>
      <color theme="1"/>
      <name val="Arial"/>
      <family val="2"/>
      <scheme val="minor"/>
    </font>
    <font>
      <b/>
      <sz val="11"/>
      <color rgb="FF002060"/>
      <name val="Arial"/>
      <family val="2"/>
      <scheme val="minor"/>
    </font>
    <font>
      <b/>
      <sz val="11"/>
      <name val="Arial"/>
      <family val="2"/>
      <scheme val="minor"/>
    </font>
    <font>
      <b/>
      <sz val="11"/>
      <color rgb="FFFF0000"/>
      <name val="Arial"/>
      <family val="2"/>
      <scheme val="minor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14"/>
      <name val="Arial"/>
      <family val="2"/>
    </font>
    <font>
      <sz val="10"/>
      <color theme="8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1"/>
      <color theme="0"/>
      <name val="Arial"/>
      <family val="2"/>
      <scheme val="minor"/>
    </font>
    <font>
      <sz val="10"/>
      <color theme="1"/>
      <name val="Arial"/>
      <family val="2"/>
      <scheme val="minor"/>
    </font>
    <font>
      <b/>
      <u/>
      <sz val="24"/>
      <color theme="4"/>
      <name val="Arial"/>
      <family val="2"/>
    </font>
    <font>
      <sz val="10"/>
      <color theme="4"/>
      <name val="Arial"/>
      <family val="2"/>
      <scheme val="minor"/>
    </font>
    <font>
      <u/>
      <sz val="10"/>
      <color theme="4"/>
      <name val="Arial"/>
      <family val="2"/>
      <scheme val="minor"/>
    </font>
    <font>
      <b/>
      <sz val="12"/>
      <color theme="4"/>
      <name val="Arial"/>
      <family val="2"/>
      <scheme val="minor"/>
    </font>
    <font>
      <b/>
      <u/>
      <sz val="12"/>
      <color theme="4"/>
      <name val="Arial"/>
      <family val="2"/>
      <scheme val="minor"/>
    </font>
    <font>
      <sz val="11"/>
      <color theme="4"/>
      <name val="Arial"/>
      <family val="2"/>
      <scheme val="minor"/>
    </font>
    <font>
      <sz val="11"/>
      <color theme="4"/>
      <name val="Calibri"/>
      <family val="2"/>
    </font>
    <font>
      <sz val="11"/>
      <color theme="2"/>
      <name val="Arial"/>
      <family val="2"/>
      <scheme val="minor"/>
    </font>
    <font>
      <sz val="10"/>
      <color theme="8"/>
      <name val="Arial"/>
      <family val="2"/>
      <scheme val="minor"/>
    </font>
    <font>
      <sz val="10"/>
      <color theme="0"/>
      <name val="Arial"/>
      <family val="2"/>
      <scheme val="minor"/>
    </font>
    <font>
      <b/>
      <sz val="12"/>
      <color theme="2"/>
      <name val="Arial"/>
      <family val="2"/>
      <scheme val="minor"/>
    </font>
    <font>
      <b/>
      <vertAlign val="subscript"/>
      <sz val="12"/>
      <color theme="4"/>
      <name val="Arial"/>
      <family val="2"/>
      <scheme val="minor"/>
    </font>
    <font>
      <u/>
      <sz val="10"/>
      <color theme="0"/>
      <name val="Arial"/>
      <family val="2"/>
      <scheme val="minor"/>
    </font>
    <font>
      <b/>
      <sz val="12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sz val="10"/>
      <color rgb="FFFF0000"/>
      <name val="Arial"/>
      <family val="2"/>
      <scheme val="minor"/>
    </font>
    <font>
      <sz val="8"/>
      <color rgb="FF000000"/>
      <name val="Tahoma"/>
      <family val="2"/>
    </font>
    <font>
      <sz val="10"/>
      <color theme="0" tint="-0.1499984740745262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05">
    <xf numFmtId="0" fontId="0" fillId="0" borderId="0" xfId="0"/>
    <xf numFmtId="0" fontId="1" fillId="0" borderId="0" xfId="1"/>
    <xf numFmtId="0" fontId="5" fillId="0" borderId="0" xfId="1" applyFont="1"/>
    <xf numFmtId="0" fontId="6" fillId="0" borderId="0" xfId="0" applyFont="1"/>
    <xf numFmtId="0" fontId="3" fillId="0" borderId="0" xfId="0" applyFont="1"/>
    <xf numFmtId="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65" fontId="3" fillId="0" borderId="0" xfId="0" applyNumberFormat="1" applyFont="1"/>
    <xf numFmtId="0" fontId="1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4" fillId="2" borderId="0" xfId="0" applyFont="1" applyFill="1" applyAlignment="1">
      <alignment horizontal="center" vertical="top" wrapText="1"/>
    </xf>
    <xf numFmtId="1" fontId="14" fillId="2" borderId="0" xfId="0" applyNumberFormat="1" applyFont="1" applyFill="1" applyAlignment="1">
      <alignment horizontal="center"/>
    </xf>
    <xf numFmtId="9" fontId="16" fillId="2" borderId="0" xfId="0" applyNumberFormat="1" applyFont="1" applyFill="1" applyAlignment="1">
      <alignment horizontal="center"/>
    </xf>
    <xf numFmtId="0" fontId="3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0" fontId="3" fillId="3" borderId="0" xfId="0" applyFont="1" applyFill="1" applyAlignment="1">
      <alignment wrapText="1"/>
    </xf>
    <xf numFmtId="0" fontId="12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top" wrapText="1"/>
    </xf>
    <xf numFmtId="0" fontId="14" fillId="3" borderId="0" xfId="0" applyFont="1" applyFill="1" applyAlignment="1">
      <alignment horizontal="center" vertical="top" wrapText="1"/>
    </xf>
    <xf numFmtId="0" fontId="3" fillId="3" borderId="0" xfId="0" applyFont="1" applyFill="1"/>
    <xf numFmtId="0" fontId="0" fillId="3" borderId="0" xfId="0" applyFill="1"/>
    <xf numFmtId="1" fontId="3" fillId="3" borderId="0" xfId="0" applyNumberFormat="1" applyFont="1" applyFill="1" applyAlignment="1">
      <alignment horizontal="center"/>
    </xf>
    <xf numFmtId="1" fontId="15" fillId="3" borderId="0" xfId="0" applyNumberFormat="1" applyFont="1" applyFill="1" applyAlignment="1">
      <alignment horizontal="center"/>
    </xf>
    <xf numFmtId="9" fontId="16" fillId="3" borderId="0" xfId="0" applyNumberFormat="1" applyFont="1" applyFill="1" applyAlignment="1">
      <alignment horizontal="center"/>
    </xf>
    <xf numFmtId="9" fontId="14" fillId="3" borderId="0" xfId="0" applyNumberFormat="1" applyFont="1" applyFill="1" applyAlignment="1">
      <alignment horizontal="center"/>
    </xf>
    <xf numFmtId="0" fontId="21" fillId="0" borderId="0" xfId="0" applyFont="1" applyAlignment="1">
      <alignment wrapText="1"/>
    </xf>
    <xf numFmtId="2" fontId="1" fillId="0" borderId="0" xfId="1" applyNumberFormat="1"/>
    <xf numFmtId="0" fontId="1" fillId="4" borderId="0" xfId="1" applyFill="1"/>
    <xf numFmtId="0" fontId="1" fillId="5" borderId="0" xfId="1" applyFill="1"/>
    <xf numFmtId="2" fontId="1" fillId="5" borderId="0" xfId="1" applyNumberFormat="1" applyFill="1"/>
    <xf numFmtId="0" fontId="21" fillId="5" borderId="0" xfId="0" applyFont="1" applyFill="1" applyAlignment="1">
      <alignment wrapText="1"/>
    </xf>
    <xf numFmtId="0" fontId="21" fillId="6" borderId="0" xfId="0" applyFont="1" applyFill="1" applyAlignment="1">
      <alignment wrapText="1"/>
    </xf>
    <xf numFmtId="2" fontId="1" fillId="6" borderId="0" xfId="1" applyNumberFormat="1" applyFill="1"/>
    <xf numFmtId="0" fontId="21" fillId="3" borderId="0" xfId="0" applyFont="1" applyFill="1" applyAlignment="1">
      <alignment wrapText="1"/>
    </xf>
    <xf numFmtId="2" fontId="1" fillId="3" borderId="0" xfId="1" applyNumberFormat="1" applyFill="1"/>
    <xf numFmtId="2" fontId="0" fillId="0" borderId="0" xfId="0" applyNumberFormat="1"/>
    <xf numFmtId="3" fontId="0" fillId="0" borderId="0" xfId="0" applyNumberFormat="1"/>
    <xf numFmtId="4" fontId="0" fillId="0" borderId="0" xfId="0" applyNumberFormat="1"/>
    <xf numFmtId="0" fontId="22" fillId="6" borderId="0" xfId="0" applyFont="1" applyFill="1" applyAlignment="1">
      <alignment wrapText="1"/>
    </xf>
    <xf numFmtId="2" fontId="22" fillId="6" borderId="0" xfId="1" applyNumberFormat="1" applyFont="1" applyFill="1"/>
    <xf numFmtId="0" fontId="22" fillId="6" borderId="0" xfId="1" applyFont="1" applyFill="1"/>
    <xf numFmtId="0" fontId="22" fillId="3" borderId="0" xfId="0" applyFont="1" applyFill="1" applyAlignment="1">
      <alignment wrapText="1"/>
    </xf>
    <xf numFmtId="2" fontId="22" fillId="3" borderId="0" xfId="1" applyNumberFormat="1" applyFont="1" applyFill="1"/>
    <xf numFmtId="0" fontId="22" fillId="3" borderId="0" xfId="1" applyFont="1" applyFill="1"/>
    <xf numFmtId="0" fontId="23" fillId="7" borderId="0" xfId="0" applyFont="1" applyFill="1" applyAlignment="1">
      <alignment wrapText="1"/>
    </xf>
    <xf numFmtId="2" fontId="4" fillId="7" borderId="0" xfId="1" applyNumberFormat="1" applyFont="1" applyFill="1"/>
    <xf numFmtId="3" fontId="1" fillId="0" borderId="0" xfId="1" applyNumberFormat="1"/>
    <xf numFmtId="3" fontId="22" fillId="6" borderId="0" xfId="1" applyNumberFormat="1" applyFont="1" applyFill="1"/>
    <xf numFmtId="3" fontId="22" fillId="3" borderId="0" xfId="1" applyNumberFormat="1" applyFont="1" applyFill="1"/>
    <xf numFmtId="3" fontId="4" fillId="7" borderId="0" xfId="1" applyNumberFormat="1" applyFont="1" applyFill="1"/>
    <xf numFmtId="0" fontId="24" fillId="0" borderId="0" xfId="1" applyFont="1"/>
    <xf numFmtId="0" fontId="26" fillId="7" borderId="0" xfId="1" quotePrefix="1" applyFont="1" applyFill="1"/>
    <xf numFmtId="0" fontId="1" fillId="7" borderId="0" xfId="1" applyFill="1"/>
    <xf numFmtId="2" fontId="26" fillId="7" borderId="0" xfId="1" applyNumberFormat="1" applyFont="1" applyFill="1" applyAlignment="1">
      <alignment horizontal="center" vertical="center"/>
    </xf>
    <xf numFmtId="0" fontId="25" fillId="7" borderId="0" xfId="0" applyFont="1" applyFill="1" applyAlignment="1">
      <alignment horizontal="center" vertical="center" wrapText="1"/>
    </xf>
    <xf numFmtId="9" fontId="1" fillId="7" borderId="0" xfId="1" applyNumberFormat="1" applyFill="1" applyProtection="1">
      <protection locked="0"/>
    </xf>
    <xf numFmtId="2" fontId="27" fillId="4" borderId="0" xfId="1" applyNumberFormat="1" applyFont="1" applyFill="1" applyProtection="1">
      <protection locked="0"/>
    </xf>
    <xf numFmtId="2" fontId="27" fillId="5" borderId="0" xfId="1" applyNumberFormat="1" applyFont="1" applyFill="1" applyProtection="1">
      <protection locked="0"/>
    </xf>
    <xf numFmtId="3" fontId="27" fillId="4" borderId="0" xfId="1" applyNumberFormat="1" applyFont="1" applyFill="1" applyProtection="1">
      <protection locked="0"/>
    </xf>
    <xf numFmtId="0" fontId="29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3" fillId="0" borderId="0" xfId="0" applyFont="1" applyAlignment="1">
      <alignment vertical="center"/>
    </xf>
    <xf numFmtId="0" fontId="0" fillId="0" borderId="0" xfId="0" applyAlignment="1">
      <alignment vertical="center"/>
    </xf>
    <xf numFmtId="0" fontId="28" fillId="0" borderId="0" xfId="0" applyFont="1" applyAlignment="1">
      <alignment vertical="center"/>
    </xf>
    <xf numFmtId="0" fontId="35" fillId="0" borderId="0" xfId="0" applyFont="1" applyAlignment="1">
      <alignment vertical="center"/>
    </xf>
    <xf numFmtId="0" fontId="29" fillId="8" borderId="0" xfId="0" applyFont="1" applyFill="1" applyAlignment="1">
      <alignment vertical="center"/>
    </xf>
    <xf numFmtId="0" fontId="0" fillId="8" borderId="0" xfId="0" applyFill="1" applyAlignment="1">
      <alignment vertical="center"/>
    </xf>
    <xf numFmtId="0" fontId="34" fillId="8" borderId="0" xfId="0" applyFont="1" applyFill="1" applyAlignment="1">
      <alignment vertical="center"/>
    </xf>
    <xf numFmtId="0" fontId="35" fillId="8" borderId="0" xfId="0" applyFont="1" applyFill="1" applyAlignment="1">
      <alignment vertical="center"/>
    </xf>
    <xf numFmtId="0" fontId="36" fillId="8" borderId="0" xfId="0" applyFont="1" applyFill="1"/>
    <xf numFmtId="0" fontId="31" fillId="8" borderId="0" xfId="0" applyFont="1" applyFill="1" applyAlignment="1">
      <alignment vertical="center"/>
    </xf>
    <xf numFmtId="0" fontId="38" fillId="8" borderId="0" xfId="0" applyFont="1" applyFill="1" applyAlignment="1">
      <alignment vertical="center"/>
    </xf>
    <xf numFmtId="3" fontId="35" fillId="8" borderId="0" xfId="0" applyNumberFormat="1" applyFont="1" applyFill="1" applyAlignment="1">
      <alignment horizontal="center" vertical="center"/>
    </xf>
    <xf numFmtId="0" fontId="30" fillId="8" borderId="0" xfId="1" applyFont="1" applyFill="1" applyAlignment="1">
      <alignment vertical="center"/>
    </xf>
    <xf numFmtId="0" fontId="32" fillId="8" borderId="0" xfId="0" applyFont="1" applyFill="1" applyAlignment="1">
      <alignment vertical="center"/>
    </xf>
    <xf numFmtId="0" fontId="39" fillId="0" borderId="0" xfId="0" applyFont="1" applyAlignment="1">
      <alignment vertical="center"/>
    </xf>
    <xf numFmtId="0" fontId="37" fillId="8" borderId="0" xfId="0" applyFont="1" applyFill="1" applyAlignment="1" applyProtection="1">
      <alignment vertical="center"/>
      <protection locked="0"/>
    </xf>
    <xf numFmtId="3" fontId="37" fillId="4" borderId="0" xfId="0" applyNumberFormat="1" applyFont="1" applyFill="1" applyAlignment="1" applyProtection="1">
      <alignment horizontal="center" vertical="center"/>
      <protection locked="0"/>
    </xf>
    <xf numFmtId="3" fontId="35" fillId="8" borderId="0" xfId="0" applyNumberFormat="1" applyFont="1" applyFill="1" applyAlignment="1" applyProtection="1">
      <alignment horizontal="center" vertical="center"/>
      <protection hidden="1"/>
    </xf>
    <xf numFmtId="3" fontId="37" fillId="3" borderId="0" xfId="0" applyNumberFormat="1" applyFont="1" applyFill="1" applyAlignment="1" applyProtection="1">
      <alignment horizontal="center" vertical="center"/>
      <protection hidden="1"/>
    </xf>
    <xf numFmtId="3" fontId="37" fillId="9" borderId="0" xfId="0" applyNumberFormat="1" applyFont="1" applyFill="1" applyAlignment="1" applyProtection="1">
      <alignment horizontal="center" vertical="center"/>
      <protection hidden="1"/>
    </xf>
    <xf numFmtId="0" fontId="33" fillId="8" borderId="0" xfId="0" applyFont="1" applyFill="1" applyAlignment="1">
      <alignment vertical="center"/>
    </xf>
    <xf numFmtId="3" fontId="40" fillId="3" borderId="0" xfId="0" applyNumberFormat="1" applyFont="1" applyFill="1" applyAlignment="1" applyProtection="1">
      <alignment horizontal="center" vertical="center"/>
      <protection hidden="1"/>
    </xf>
    <xf numFmtId="0" fontId="0" fillId="8" borderId="0" xfId="0" applyFill="1"/>
    <xf numFmtId="0" fontId="0" fillId="7" borderId="0" xfId="0" applyFill="1"/>
    <xf numFmtId="0" fontId="29" fillId="7" borderId="0" xfId="0" applyFont="1" applyFill="1" applyAlignment="1">
      <alignment vertical="center"/>
    </xf>
    <xf numFmtId="0" fontId="29" fillId="7" borderId="0" xfId="0" applyFont="1" applyFill="1" applyAlignment="1">
      <alignment horizontal="center" vertical="center"/>
    </xf>
    <xf numFmtId="1" fontId="29" fillId="7" borderId="0" xfId="0" applyNumberFormat="1" applyFont="1" applyFill="1" applyAlignment="1">
      <alignment horizontal="center" vertical="center"/>
    </xf>
    <xf numFmtId="0" fontId="0" fillId="10" borderId="0" xfId="0" applyFill="1"/>
    <xf numFmtId="0" fontId="42" fillId="0" borderId="0" xfId="0" applyFont="1" applyAlignment="1">
      <alignment vertical="center"/>
    </xf>
    <xf numFmtId="0" fontId="43" fillId="0" borderId="0" xfId="0" applyFont="1" applyAlignment="1">
      <alignment vertical="center"/>
    </xf>
    <xf numFmtId="0" fontId="45" fillId="0" borderId="0" xfId="0" applyFont="1" applyAlignment="1">
      <alignment vertical="center"/>
    </xf>
    <xf numFmtId="0" fontId="45" fillId="0" borderId="0" xfId="0" applyFont="1" applyAlignment="1" applyProtection="1">
      <alignment vertical="center"/>
      <protection locked="0"/>
    </xf>
    <xf numFmtId="0" fontId="44" fillId="0" borderId="0" xfId="0" applyFont="1" applyAlignment="1">
      <alignment vertical="center"/>
    </xf>
    <xf numFmtId="3" fontId="37" fillId="8" borderId="0" xfId="0" applyNumberFormat="1" applyFont="1" applyFill="1" applyAlignment="1" applyProtection="1">
      <alignment horizontal="center" vertical="center"/>
      <protection hidden="1"/>
    </xf>
    <xf numFmtId="0" fontId="24" fillId="0" borderId="0" xfId="0" applyFont="1" applyAlignment="1">
      <alignment wrapText="1"/>
    </xf>
    <xf numFmtId="2" fontId="24" fillId="0" borderId="0" xfId="1" applyNumberFormat="1" applyFont="1"/>
    <xf numFmtId="0" fontId="47" fillId="0" borderId="0" xfId="0" applyFont="1" applyAlignment="1">
      <alignment wrapText="1"/>
    </xf>
    <xf numFmtId="2" fontId="47" fillId="0" borderId="0" xfId="1" applyNumberFormat="1" applyFont="1"/>
    <xf numFmtId="0" fontId="47" fillId="0" borderId="0" xfId="1" applyFont="1"/>
  </cellXfs>
  <cellStyles count="2">
    <cellStyle name="Standard" xfId="0" builtinId="0"/>
    <cellStyle name="Stil 1" xfId="1" xr:uid="{00000000-0005-0000-0000-000001000000}"/>
  </cellStyles>
  <dxfs count="1">
    <dxf>
      <fill>
        <patternFill>
          <bgColor theme="6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Scroll" dx="16" fmlaLink="$J$25" horiz="1" max="100" page="5" val="40"/>
</file>

<file path=xl/ctrlProps/ctrlProp2.xml><?xml version="1.0" encoding="utf-8"?>
<formControlPr xmlns="http://schemas.microsoft.com/office/spreadsheetml/2009/9/main" objectType="Scroll" dx="16" fmlaLink="$J$28" horiz="1" max="100" page="5" val="87"/>
</file>

<file path=xl/ctrlProps/ctrlProp3.xml><?xml version="1.0" encoding="utf-8"?>
<formControlPr xmlns="http://schemas.microsoft.com/office/spreadsheetml/2009/9/main" objectType="Scroll" dx="16" fmlaLink="$J$29" horiz="1" max="100" page="5" val="13"/>
</file>

<file path=xl/ctrlProps/ctrlProp4.xml><?xml version="1.0" encoding="utf-8"?>
<formControlPr xmlns="http://schemas.microsoft.com/office/spreadsheetml/2009/9/main" objectType="Scroll" dx="16" fmlaLink="$J$30" horiz="1" max="100" page="5" val="0"/>
</file>

<file path=xl/ctrlProps/ctrlProp5.xml><?xml version="1.0" encoding="utf-8"?>
<formControlPr xmlns="http://schemas.microsoft.com/office/spreadsheetml/2009/9/main" objectType="Radio" checked="Checked" firstButton="1" fmlaLink="$J$19" lockText="1"/>
</file>

<file path=xl/ctrlProps/ctrlProp6.xml><?xml version="1.0" encoding="utf-8"?>
<formControlPr xmlns="http://schemas.microsoft.com/office/spreadsheetml/2009/9/main" objectType="Radio" lockText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690562</xdr:colOff>
      <xdr:row>2</xdr:row>
      <xdr:rowOff>273686</xdr:rowOff>
    </xdr:to>
    <xdr:pic>
      <xdr:nvPicPr>
        <xdr:cNvPr id="2" name="Grafik 1" descr="Fachverband-Biogas-Logo-CMYK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"/>
          <a:ext cx="1524000" cy="60706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52</xdr:row>
      <xdr:rowOff>0</xdr:rowOff>
    </xdr:from>
    <xdr:to>
      <xdr:col>8</xdr:col>
      <xdr:colOff>809626</xdr:colOff>
      <xdr:row>61</xdr:row>
      <xdr:rowOff>63761</xdr:rowOff>
    </xdr:to>
    <xdr:pic>
      <xdr:nvPicPr>
        <xdr:cNvPr id="4111" name="Picture 15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" y="11418094"/>
          <a:ext cx="8167688" cy="1563949"/>
        </a:xfrm>
        <a:prstGeom prst="rect">
          <a:avLst/>
        </a:prstGeom>
        <a:noFill/>
      </xdr:spPr>
    </xdr:pic>
    <xdr:clientData/>
  </xdr:twoCellAnchor>
  <xdr:twoCellAnchor>
    <xdr:from>
      <xdr:col>3</xdr:col>
      <xdr:colOff>809625</xdr:colOff>
      <xdr:row>57</xdr:row>
      <xdr:rowOff>83344</xdr:rowOff>
    </xdr:from>
    <xdr:to>
      <xdr:col>3</xdr:col>
      <xdr:colOff>1107281</xdr:colOff>
      <xdr:row>58</xdr:row>
      <xdr:rowOff>71437</xdr:rowOff>
    </xdr:to>
    <xdr:sp macro="" textlink="">
      <xdr:nvSpPr>
        <xdr:cNvPr id="5" name="Rechteck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309938" y="12334875"/>
          <a:ext cx="297656" cy="154781"/>
        </a:xfrm>
        <a:prstGeom prst="rect">
          <a:avLst/>
        </a:prstGeom>
        <a:noFill/>
        <a:ln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  <xdr:twoCellAnchor>
    <xdr:from>
      <xdr:col>3</xdr:col>
      <xdr:colOff>795338</xdr:colOff>
      <xdr:row>59</xdr:row>
      <xdr:rowOff>152400</xdr:rowOff>
    </xdr:from>
    <xdr:to>
      <xdr:col>3</xdr:col>
      <xdr:colOff>1092994</xdr:colOff>
      <xdr:row>60</xdr:row>
      <xdr:rowOff>140493</xdr:rowOff>
    </xdr:to>
    <xdr:sp macro="" textlink="">
      <xdr:nvSpPr>
        <xdr:cNvPr id="6" name="Rechteck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295651" y="12737306"/>
          <a:ext cx="297656" cy="154781"/>
        </a:xfrm>
        <a:prstGeom prst="rect">
          <a:avLst/>
        </a:prstGeom>
        <a:noFill/>
        <a:ln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  <xdr:twoCellAnchor>
    <xdr:from>
      <xdr:col>3</xdr:col>
      <xdr:colOff>795339</xdr:colOff>
      <xdr:row>57</xdr:row>
      <xdr:rowOff>160734</xdr:rowOff>
    </xdr:from>
    <xdr:to>
      <xdr:col>3</xdr:col>
      <xdr:colOff>809626</xdr:colOff>
      <xdr:row>60</xdr:row>
      <xdr:rowOff>63102</xdr:rowOff>
    </xdr:to>
    <xdr:cxnSp macro="">
      <xdr:nvCxnSpPr>
        <xdr:cNvPr id="8" name="Gewinkelte Verbindung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>
          <a:stCxn id="5" idx="1"/>
          <a:endCxn id="6" idx="1"/>
        </xdr:cNvCxnSpPr>
      </xdr:nvCxnSpPr>
      <xdr:spPr>
        <a:xfrm rot="10800000" flipV="1">
          <a:off x="3295652" y="12412265"/>
          <a:ext cx="14287" cy="402431"/>
        </a:xfrm>
        <a:prstGeom prst="bentConnector3">
          <a:avLst>
            <a:gd name="adj1" fmla="val 1700056"/>
          </a:avLst>
        </a:prstGeom>
        <a:ln>
          <a:solidFill>
            <a:schemeClr val="accent5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819150</xdr:colOff>
          <xdr:row>17</xdr:row>
          <xdr:rowOff>142875</xdr:rowOff>
        </xdr:from>
        <xdr:to>
          <xdr:col>4</xdr:col>
          <xdr:colOff>9525</xdr:colOff>
          <xdr:row>19</xdr:row>
          <xdr:rowOff>47625</xdr:rowOff>
        </xdr:to>
        <xdr:grpSp>
          <xdr:nvGrpSpPr>
            <xdr:cNvPr id="4109" name="Group 13">
              <a:extLst>
                <a:ext uri="{FF2B5EF4-FFF2-40B4-BE49-F238E27FC236}">
                  <a16:creationId xmlns:a16="http://schemas.microsoft.com/office/drawing/2014/main" id="{00000000-0008-0000-0000-00000D1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2486025" y="3381375"/>
              <a:ext cx="1547813" cy="285750"/>
              <a:chOff x="262" y="424"/>
              <a:chExt cx="163" cy="30"/>
            </a:xfrm>
          </xdr:grpSpPr>
          <xdr:sp macro="" textlink="">
            <xdr:nvSpPr>
              <xdr:cNvPr id="4098" name="Option Button 2" hidden="1">
                <a:extLst>
                  <a:ext uri="{63B3BB69-23CF-44E3-9099-C40C66FF867C}">
                    <a14:compatExt spid="_x0000_s4098"/>
                  </a:ext>
                  <a:ext uri="{FF2B5EF4-FFF2-40B4-BE49-F238E27FC236}">
                    <a16:creationId xmlns:a16="http://schemas.microsoft.com/office/drawing/2014/main" id="{00000000-0008-0000-0000-000002100000}"/>
                  </a:ext>
                </a:extLst>
              </xdr:cNvPr>
              <xdr:cNvSpPr/>
            </xdr:nvSpPr>
            <xdr:spPr bwMode="auto">
              <a:xfrm>
                <a:off x="262" y="424"/>
                <a:ext cx="82" cy="30"/>
              </a:xfrm>
              <a:prstGeom prst="rect">
                <a:avLst/>
              </a:prstGeom>
              <a:solidFill>
                <a:srgbClr val="0082B0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de-DE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ja</a:t>
                </a:r>
              </a:p>
            </xdr:txBody>
          </xdr:sp>
          <xdr:sp macro="" textlink="">
            <xdr:nvSpPr>
              <xdr:cNvPr id="4099" name="Option Button 3" descr="nein" hidden="1">
                <a:extLst>
                  <a:ext uri="{63B3BB69-23CF-44E3-9099-C40C66FF867C}">
                    <a14:compatExt spid="_x0000_s4099"/>
                  </a:ext>
                  <a:ext uri="{FF2B5EF4-FFF2-40B4-BE49-F238E27FC236}">
                    <a16:creationId xmlns:a16="http://schemas.microsoft.com/office/drawing/2014/main" id="{00000000-0008-0000-0000-000003100000}"/>
                  </a:ext>
                </a:extLst>
              </xdr:cNvPr>
              <xdr:cNvSpPr/>
            </xdr:nvSpPr>
            <xdr:spPr bwMode="auto">
              <a:xfrm>
                <a:off x="344" y="424"/>
                <a:ext cx="81" cy="30"/>
              </a:xfrm>
              <a:prstGeom prst="rect">
                <a:avLst/>
              </a:prstGeom>
              <a:solidFill>
                <a:srgbClr val="7F7F7F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de-DE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nein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809625</xdr:colOff>
          <xdr:row>23</xdr:row>
          <xdr:rowOff>171450</xdr:rowOff>
        </xdr:from>
        <xdr:to>
          <xdr:col>3</xdr:col>
          <xdr:colOff>866775</xdr:colOff>
          <xdr:row>24</xdr:row>
          <xdr:rowOff>152400</xdr:rowOff>
        </xdr:to>
        <xdr:sp macro="" textlink="">
          <xdr:nvSpPr>
            <xdr:cNvPr id="4103" name="Scroll Bar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0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809625</xdr:colOff>
          <xdr:row>27</xdr:row>
          <xdr:rowOff>47625</xdr:rowOff>
        </xdr:from>
        <xdr:to>
          <xdr:col>3</xdr:col>
          <xdr:colOff>866775</xdr:colOff>
          <xdr:row>28</xdr:row>
          <xdr:rowOff>28575</xdr:rowOff>
        </xdr:to>
        <xdr:sp macro="" textlink="">
          <xdr:nvSpPr>
            <xdr:cNvPr id="4106" name="Scroll Bar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0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819150</xdr:colOff>
          <xdr:row>28</xdr:row>
          <xdr:rowOff>28575</xdr:rowOff>
        </xdr:from>
        <xdr:to>
          <xdr:col>3</xdr:col>
          <xdr:colOff>876300</xdr:colOff>
          <xdr:row>29</xdr:row>
          <xdr:rowOff>9524</xdr:rowOff>
        </xdr:to>
        <xdr:sp macro="" textlink="">
          <xdr:nvSpPr>
            <xdr:cNvPr id="4107" name="Scroll Bar 11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00000000-0008-0000-0000-00000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819150</xdr:colOff>
          <xdr:row>29</xdr:row>
          <xdr:rowOff>19050</xdr:rowOff>
        </xdr:from>
        <xdr:to>
          <xdr:col>3</xdr:col>
          <xdr:colOff>876300</xdr:colOff>
          <xdr:row>30</xdr:row>
          <xdr:rowOff>0</xdr:rowOff>
        </xdr:to>
        <xdr:sp macro="" textlink="">
          <xdr:nvSpPr>
            <xdr:cNvPr id="4108" name="Scroll Bar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0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533400</xdr:colOff>
      <xdr:row>32</xdr:row>
      <xdr:rowOff>104775</xdr:rowOff>
    </xdr:to>
    <xdr:pic>
      <xdr:nvPicPr>
        <xdr:cNvPr id="3073" name="Picture 1">
          <a:extLst>
            <a:ext uri="{FF2B5EF4-FFF2-40B4-BE49-F238E27FC236}">
              <a16:creationId xmlns:a16="http://schemas.microsoft.com/office/drawing/2014/main" id="{00000000-0008-0000-0400-00000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8200" y="0"/>
          <a:ext cx="5562600" cy="55340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0</xdr:colOff>
      <xdr:row>1</xdr:row>
      <xdr:rowOff>59532</xdr:rowOff>
    </xdr:from>
    <xdr:to>
      <xdr:col>7</xdr:col>
      <xdr:colOff>547413</xdr:colOff>
      <xdr:row>1</xdr:row>
      <xdr:rowOff>5095876</xdr:rowOff>
    </xdr:to>
    <xdr:pic>
      <xdr:nvPicPr>
        <xdr:cNvPr id="3074" name="Picture 2">
          <a:extLst>
            <a:ext uri="{FF2B5EF4-FFF2-40B4-BE49-F238E27FC236}">
              <a16:creationId xmlns:a16="http://schemas.microsoft.com/office/drawing/2014/main" id="{00000000-0008-0000-04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8" y="238126"/>
          <a:ext cx="5548038" cy="503634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15</xdr:col>
      <xdr:colOff>250031</xdr:colOff>
      <xdr:row>1</xdr:row>
      <xdr:rowOff>5092283</xdr:rowOff>
    </xdr:to>
    <xdr:pic>
      <xdr:nvPicPr>
        <xdr:cNvPr id="3076" name="Picture 4">
          <a:extLst>
            <a:ext uri="{FF2B5EF4-FFF2-40B4-BE49-F238E27FC236}">
              <a16:creationId xmlns:a16="http://schemas.microsoft.com/office/drawing/2014/main" id="{00000000-0008-0000-0400-00000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9167813" y="178594"/>
          <a:ext cx="3583781" cy="509228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FvB Excel">
      <a:dk1>
        <a:sysClr val="windowText" lastClr="000000"/>
      </a:dk1>
      <a:lt1>
        <a:sysClr val="window" lastClr="FFFFFF"/>
      </a:lt1>
      <a:dk2>
        <a:srgbClr val="003399"/>
      </a:dk2>
      <a:lt2>
        <a:srgbClr val="F8F8F8"/>
      </a:lt2>
      <a:accent1>
        <a:srgbClr val="0082B0"/>
      </a:accent1>
      <a:accent2>
        <a:srgbClr val="FF6600"/>
      </a:accent2>
      <a:accent3>
        <a:srgbClr val="849E00"/>
      </a:accent3>
      <a:accent4>
        <a:srgbClr val="7F7F7F"/>
      </a:accent4>
      <a:accent5>
        <a:srgbClr val="C40823"/>
      </a:accent5>
      <a:accent6>
        <a:srgbClr val="FFFF00"/>
      </a:accent6>
      <a:hlink>
        <a:srgbClr val="0000FF"/>
      </a:hlink>
      <a:folHlink>
        <a:srgbClr val="800080"/>
      </a:folHlink>
    </a:clrScheme>
    <a:fontScheme name="Benutzerdefiniert 1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7"/>
  </sheetPr>
  <dimension ref="A1:N68"/>
  <sheetViews>
    <sheetView tabSelected="1" zoomScale="80" zoomScaleNormal="80" workbookViewId="0">
      <selection activeCell="N21" sqref="N21"/>
    </sheetView>
  </sheetViews>
  <sheetFormatPr baseColWidth="10" defaultRowHeight="12.75" x14ac:dyDescent="0.2"/>
  <cols>
    <col min="1" max="3" width="11" style="63"/>
    <col min="4" max="4" width="20" style="63" customWidth="1"/>
    <col min="5" max="9" width="11" style="63"/>
    <col min="10" max="11" width="11" style="63" hidden="1" customWidth="1"/>
    <col min="12" max="16384" width="11" style="63"/>
  </cols>
  <sheetData>
    <row r="1" spans="1:14" x14ac:dyDescent="0.2">
      <c r="A1" s="70"/>
      <c r="B1" s="70"/>
      <c r="C1" s="70"/>
      <c r="D1" s="70"/>
      <c r="E1" s="70"/>
      <c r="F1" s="70"/>
      <c r="G1" s="70"/>
      <c r="H1" s="70"/>
      <c r="I1" s="70"/>
    </row>
    <row r="2" spans="1:14" x14ac:dyDescent="0.2">
      <c r="A2" s="70"/>
      <c r="B2" s="70"/>
      <c r="C2" s="70"/>
      <c r="D2" s="70"/>
      <c r="E2" s="70"/>
      <c r="F2" s="70"/>
      <c r="G2" s="70"/>
      <c r="H2" s="70"/>
      <c r="I2" s="70"/>
    </row>
    <row r="3" spans="1:14" ht="23.25" customHeight="1" x14ac:dyDescent="0.2">
      <c r="A3" s="70"/>
      <c r="B3" s="70"/>
      <c r="C3" s="70"/>
      <c r="D3" s="70"/>
      <c r="E3" s="70"/>
      <c r="F3" s="70"/>
      <c r="G3" s="70"/>
      <c r="H3" s="70"/>
      <c r="I3" s="70"/>
    </row>
    <row r="4" spans="1:14" ht="30" x14ac:dyDescent="0.2">
      <c r="A4" s="78" t="s">
        <v>178</v>
      </c>
      <c r="B4" s="70"/>
      <c r="C4" s="70"/>
      <c r="D4" s="70"/>
      <c r="E4" s="70"/>
      <c r="F4" s="70"/>
      <c r="G4" s="70"/>
      <c r="H4" s="70"/>
      <c r="I4" s="70"/>
    </row>
    <row r="5" spans="1:14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14" x14ac:dyDescent="0.2">
      <c r="A6" s="79" t="s">
        <v>182</v>
      </c>
      <c r="B6" s="70"/>
      <c r="C6" s="70"/>
      <c r="D6" s="70"/>
      <c r="E6" s="70"/>
      <c r="F6" s="70"/>
      <c r="G6" s="70"/>
      <c r="H6" s="70"/>
      <c r="I6" s="70"/>
    </row>
    <row r="7" spans="1:14" x14ac:dyDescent="0.2">
      <c r="A7" s="75" t="s">
        <v>179</v>
      </c>
      <c r="B7" s="70"/>
      <c r="C7" s="70"/>
      <c r="D7" s="70"/>
      <c r="E7" s="70"/>
      <c r="F7" s="70"/>
      <c r="G7" s="70"/>
      <c r="H7" s="70"/>
      <c r="I7" s="70"/>
    </row>
    <row r="8" spans="1:14" x14ac:dyDescent="0.2">
      <c r="A8" s="75" t="s">
        <v>232</v>
      </c>
      <c r="B8" s="70"/>
      <c r="C8" s="70"/>
      <c r="D8" s="70"/>
      <c r="E8" s="70"/>
      <c r="F8" s="70"/>
      <c r="G8" s="70"/>
      <c r="H8" s="70"/>
      <c r="I8" s="70"/>
    </row>
    <row r="9" spans="1:14" x14ac:dyDescent="0.2">
      <c r="A9" s="75" t="s">
        <v>181</v>
      </c>
      <c r="B9" s="70"/>
      <c r="C9" s="70"/>
      <c r="D9" s="70"/>
      <c r="E9" s="70"/>
      <c r="F9" s="70"/>
      <c r="G9" s="70"/>
      <c r="H9" s="70"/>
      <c r="I9" s="70"/>
      <c r="J9" s="80"/>
      <c r="K9" s="80"/>
      <c r="L9" s="80"/>
      <c r="M9" s="80"/>
      <c r="N9" s="80"/>
    </row>
    <row r="10" spans="1:14" x14ac:dyDescent="0.2">
      <c r="A10" s="75" t="s">
        <v>180</v>
      </c>
      <c r="B10" s="70"/>
      <c r="C10" s="70"/>
      <c r="D10" s="70"/>
      <c r="E10" s="70"/>
      <c r="F10" s="70"/>
      <c r="G10" s="70"/>
      <c r="H10" s="70"/>
      <c r="I10" s="70"/>
      <c r="J10" s="80"/>
      <c r="K10" s="80"/>
      <c r="L10" s="80"/>
      <c r="M10" s="80"/>
      <c r="N10" s="80"/>
    </row>
    <row r="11" spans="1:14" x14ac:dyDescent="0.2">
      <c r="A11" s="70"/>
      <c r="B11" s="70"/>
      <c r="C11" s="70"/>
      <c r="D11" s="70"/>
      <c r="E11" s="70"/>
      <c r="F11" s="70"/>
      <c r="G11" s="70"/>
      <c r="H11" s="70"/>
      <c r="I11" s="70"/>
      <c r="J11" s="80"/>
      <c r="K11" s="80"/>
      <c r="L11" s="80"/>
      <c r="M11" s="80"/>
      <c r="N11" s="80"/>
    </row>
    <row r="12" spans="1:14" s="64" customFormat="1" x14ac:dyDescent="0.2">
      <c r="A12" s="79" t="s">
        <v>183</v>
      </c>
      <c r="B12" s="79"/>
      <c r="C12" s="79"/>
      <c r="D12" s="79"/>
      <c r="E12" s="79"/>
      <c r="F12" s="79"/>
      <c r="G12" s="79"/>
      <c r="H12" s="79"/>
      <c r="I12" s="79"/>
      <c r="J12" s="94"/>
      <c r="K12" s="94"/>
      <c r="L12" s="94"/>
      <c r="M12" s="94"/>
      <c r="N12" s="94"/>
    </row>
    <row r="13" spans="1:14" s="65" customFormat="1" ht="14.25" x14ac:dyDescent="0.2">
      <c r="A13" s="75" t="s">
        <v>196</v>
      </c>
      <c r="B13" s="75"/>
      <c r="C13" s="73"/>
      <c r="D13" s="73"/>
      <c r="E13" s="73"/>
      <c r="F13" s="73"/>
      <c r="G13" s="73"/>
      <c r="H13" s="75"/>
      <c r="I13" s="75"/>
      <c r="J13" s="80"/>
      <c r="K13" s="80"/>
      <c r="L13" s="80"/>
      <c r="M13" s="80"/>
      <c r="N13" s="80"/>
    </row>
    <row r="14" spans="1:14" s="65" customFormat="1" ht="14.25" x14ac:dyDescent="0.2">
      <c r="A14" s="75" t="s">
        <v>197</v>
      </c>
      <c r="B14" s="75"/>
      <c r="C14" s="73"/>
      <c r="D14" s="73"/>
      <c r="E14" s="73"/>
      <c r="F14" s="73"/>
      <c r="G14" s="73"/>
      <c r="H14" s="75"/>
      <c r="I14" s="75"/>
      <c r="J14" s="80"/>
      <c r="K14" s="80"/>
      <c r="L14" s="80"/>
      <c r="M14" s="80"/>
      <c r="N14" s="80"/>
    </row>
    <row r="15" spans="1:14" s="65" customFormat="1" ht="14.25" x14ac:dyDescent="0.2">
      <c r="A15" s="75" t="s">
        <v>198</v>
      </c>
      <c r="B15" s="75"/>
      <c r="C15" s="73"/>
      <c r="D15" s="73"/>
      <c r="E15" s="73"/>
      <c r="F15" s="73"/>
      <c r="G15" s="73"/>
      <c r="H15" s="75"/>
      <c r="I15" s="75"/>
      <c r="J15" s="80"/>
      <c r="K15" s="80"/>
      <c r="L15" s="80"/>
      <c r="M15" s="80"/>
      <c r="N15" s="80"/>
    </row>
    <row r="16" spans="1:14" ht="14.25" x14ac:dyDescent="0.2">
      <c r="A16" s="75" t="s">
        <v>228</v>
      </c>
      <c r="B16" s="70"/>
      <c r="C16" s="71"/>
      <c r="D16" s="71"/>
      <c r="E16" s="71"/>
      <c r="F16" s="71"/>
      <c r="G16" s="71"/>
      <c r="H16" s="70"/>
      <c r="I16" s="70"/>
      <c r="J16" s="96"/>
      <c r="K16" s="96"/>
      <c r="L16" s="96"/>
      <c r="M16" s="96"/>
      <c r="N16" s="80"/>
    </row>
    <row r="17" spans="1:14" ht="14.25" x14ac:dyDescent="0.2">
      <c r="A17" s="70"/>
      <c r="B17" s="70"/>
      <c r="C17" s="71"/>
      <c r="D17" s="71"/>
      <c r="E17" s="71"/>
      <c r="F17" s="71"/>
      <c r="G17" s="71"/>
      <c r="H17" s="70"/>
      <c r="I17" s="70"/>
      <c r="J17" s="96"/>
      <c r="K17" s="96"/>
      <c r="L17" s="96"/>
      <c r="M17" s="96"/>
      <c r="N17" s="80"/>
    </row>
    <row r="18" spans="1:14" ht="15.75" x14ac:dyDescent="0.2">
      <c r="A18" s="72" t="s">
        <v>184</v>
      </c>
      <c r="B18" s="70"/>
      <c r="C18" s="71"/>
      <c r="D18" s="71"/>
      <c r="E18" s="71"/>
      <c r="F18" s="71"/>
      <c r="G18" s="71"/>
      <c r="H18" s="70"/>
      <c r="I18" s="70"/>
      <c r="J18" s="96"/>
      <c r="K18" s="96"/>
      <c r="L18" s="96"/>
      <c r="M18" s="96"/>
      <c r="N18" s="80"/>
    </row>
    <row r="19" spans="1:14" s="69" customFormat="1" ht="14.25" x14ac:dyDescent="0.2">
      <c r="A19" s="73" t="s">
        <v>185</v>
      </c>
      <c r="B19" s="73"/>
      <c r="C19" s="73"/>
      <c r="D19" s="73"/>
      <c r="E19" s="67"/>
      <c r="F19" s="81"/>
      <c r="G19" s="71"/>
      <c r="H19" s="73"/>
      <c r="I19" s="73"/>
      <c r="J19" s="97">
        <v>1</v>
      </c>
      <c r="K19" s="98"/>
      <c r="L19" s="98"/>
      <c r="M19" s="98"/>
      <c r="N19" s="68"/>
    </row>
    <row r="20" spans="1:14" s="65" customFormat="1" ht="14.25" x14ac:dyDescent="0.2">
      <c r="A20" s="73"/>
      <c r="B20" s="73"/>
      <c r="C20" s="73"/>
      <c r="D20" s="73"/>
      <c r="E20" s="71"/>
      <c r="F20" s="71"/>
      <c r="G20" s="71"/>
      <c r="H20" s="73"/>
      <c r="I20" s="75"/>
      <c r="J20" s="96"/>
      <c r="K20" s="96"/>
      <c r="L20" s="96"/>
      <c r="M20" s="96"/>
      <c r="N20" s="80"/>
    </row>
    <row r="21" spans="1:14" s="65" customFormat="1" ht="15" x14ac:dyDescent="0.25">
      <c r="A21" s="73" t="s">
        <v>186</v>
      </c>
      <c r="B21" s="73"/>
      <c r="C21" s="73"/>
      <c r="D21" s="74"/>
      <c r="E21" s="82">
        <v>300000</v>
      </c>
      <c r="F21" s="73" t="s">
        <v>118</v>
      </c>
      <c r="G21" s="73"/>
      <c r="H21" s="73"/>
      <c r="I21" s="75"/>
      <c r="J21" s="96"/>
      <c r="K21" s="96"/>
      <c r="L21" s="96"/>
      <c r="M21" s="96"/>
      <c r="N21" s="80"/>
    </row>
    <row r="22" spans="1:14" s="65" customFormat="1" ht="14.25" x14ac:dyDescent="0.2">
      <c r="A22" s="73" t="s">
        <v>187</v>
      </c>
      <c r="B22" s="73"/>
      <c r="C22" s="73"/>
      <c r="D22" s="73"/>
      <c r="E22" s="77">
        <f>E21/8760</f>
        <v>34.246575342465754</v>
      </c>
      <c r="F22" s="73" t="s">
        <v>188</v>
      </c>
      <c r="G22" s="73"/>
      <c r="H22" s="73"/>
      <c r="I22" s="75"/>
      <c r="J22" s="96"/>
      <c r="K22" s="96"/>
      <c r="L22" s="96"/>
      <c r="M22" s="96"/>
      <c r="N22" s="80"/>
    </row>
    <row r="23" spans="1:14" s="65" customFormat="1" ht="14.25" x14ac:dyDescent="0.2">
      <c r="A23" s="73" t="s">
        <v>189</v>
      </c>
      <c r="B23" s="73"/>
      <c r="C23" s="73"/>
      <c r="D23" s="73"/>
      <c r="E23" s="82">
        <v>100000</v>
      </c>
      <c r="F23" s="73" t="s">
        <v>118</v>
      </c>
      <c r="G23" s="76" t="s">
        <v>190</v>
      </c>
      <c r="H23" s="73"/>
      <c r="I23" s="75"/>
      <c r="J23" s="96"/>
      <c r="K23" s="96"/>
      <c r="L23" s="96"/>
      <c r="M23" s="96"/>
      <c r="N23" s="80"/>
    </row>
    <row r="24" spans="1:14" s="65" customFormat="1" ht="14.25" x14ac:dyDescent="0.2">
      <c r="A24" s="73" t="s">
        <v>233</v>
      </c>
      <c r="B24" s="73"/>
      <c r="C24" s="73"/>
      <c r="D24" s="73"/>
      <c r="E24" s="77">
        <f>E23/10</f>
        <v>10000</v>
      </c>
      <c r="F24" s="73" t="s">
        <v>191</v>
      </c>
      <c r="G24" s="73"/>
      <c r="H24" s="73"/>
      <c r="I24" s="75"/>
      <c r="J24" s="96"/>
      <c r="K24" s="96"/>
      <c r="L24" s="96"/>
      <c r="M24" s="96"/>
      <c r="N24" s="80"/>
    </row>
    <row r="25" spans="1:14" s="65" customFormat="1" ht="14.25" x14ac:dyDescent="0.2">
      <c r="A25" s="73" t="s">
        <v>192</v>
      </c>
      <c r="B25" s="73"/>
      <c r="C25" s="73"/>
      <c r="D25" s="73"/>
      <c r="E25" s="77">
        <f>J25</f>
        <v>40</v>
      </c>
      <c r="F25" s="73" t="s">
        <v>59</v>
      </c>
      <c r="G25" s="73"/>
      <c r="H25" s="75"/>
      <c r="I25" s="75"/>
      <c r="J25" s="97">
        <v>40</v>
      </c>
      <c r="K25" s="96"/>
      <c r="L25" s="96"/>
      <c r="M25" s="96"/>
      <c r="N25" s="80"/>
    </row>
    <row r="26" spans="1:14" s="65" customFormat="1" ht="14.25" x14ac:dyDescent="0.2">
      <c r="A26" s="73"/>
      <c r="B26" s="73"/>
      <c r="C26" s="73"/>
      <c r="D26" s="73"/>
      <c r="E26" s="77"/>
      <c r="F26" s="73"/>
      <c r="G26" s="73"/>
      <c r="H26" s="75"/>
      <c r="I26" s="75"/>
      <c r="J26" s="97"/>
      <c r="K26" s="96"/>
      <c r="L26" s="96"/>
      <c r="M26" s="96"/>
      <c r="N26" s="80"/>
    </row>
    <row r="27" spans="1:14" s="65" customFormat="1" ht="14.25" x14ac:dyDescent="0.2">
      <c r="A27" s="73" t="s">
        <v>89</v>
      </c>
      <c r="B27" s="73"/>
      <c r="C27" s="73"/>
      <c r="D27" s="73"/>
      <c r="E27" s="73"/>
      <c r="F27" s="73"/>
      <c r="G27" s="75"/>
      <c r="H27" s="75"/>
      <c r="I27" s="75"/>
      <c r="J27" s="97"/>
      <c r="K27" s="96"/>
      <c r="L27" s="96"/>
      <c r="M27" s="96"/>
      <c r="N27" s="80"/>
    </row>
    <row r="28" spans="1:14" s="65" customFormat="1" ht="14.25" x14ac:dyDescent="0.2">
      <c r="A28" s="73" t="s">
        <v>90</v>
      </c>
      <c r="B28" s="73"/>
      <c r="C28" s="73"/>
      <c r="D28" s="73"/>
      <c r="E28" s="77">
        <f>J28</f>
        <v>87</v>
      </c>
      <c r="F28" s="73" t="s">
        <v>59</v>
      </c>
      <c r="G28" s="75"/>
      <c r="H28" s="75"/>
      <c r="I28" s="75"/>
      <c r="J28" s="97">
        <v>87</v>
      </c>
      <c r="K28" s="96"/>
      <c r="L28" s="96"/>
      <c r="M28" s="96"/>
      <c r="N28" s="80"/>
    </row>
    <row r="29" spans="1:14" s="65" customFormat="1" ht="14.25" x14ac:dyDescent="0.2">
      <c r="A29" s="73" t="s">
        <v>93</v>
      </c>
      <c r="B29" s="73"/>
      <c r="C29" s="73"/>
      <c r="D29" s="73"/>
      <c r="E29" s="77">
        <f t="shared" ref="E29:E30" si="0">J29</f>
        <v>13</v>
      </c>
      <c r="F29" s="73" t="s">
        <v>59</v>
      </c>
      <c r="G29" s="75"/>
      <c r="H29" s="75"/>
      <c r="I29" s="75"/>
      <c r="J29" s="97">
        <v>13</v>
      </c>
      <c r="K29" s="96"/>
      <c r="L29" s="96"/>
      <c r="M29" s="96"/>
      <c r="N29" s="80"/>
    </row>
    <row r="30" spans="1:14" s="65" customFormat="1" ht="14.25" x14ac:dyDescent="0.2">
      <c r="A30" s="73" t="s">
        <v>94</v>
      </c>
      <c r="B30" s="73"/>
      <c r="C30" s="73"/>
      <c r="D30" s="73"/>
      <c r="E30" s="77">
        <f t="shared" si="0"/>
        <v>0</v>
      </c>
      <c r="F30" s="73" t="s">
        <v>59</v>
      </c>
      <c r="G30" s="75"/>
      <c r="H30" s="75"/>
      <c r="I30" s="75"/>
      <c r="J30" s="97">
        <v>0</v>
      </c>
      <c r="K30" s="96"/>
      <c r="L30" s="96"/>
      <c r="M30" s="96"/>
      <c r="N30" s="80"/>
    </row>
    <row r="31" spans="1:14" s="65" customFormat="1" ht="14.25" x14ac:dyDescent="0.2">
      <c r="A31" s="73"/>
      <c r="B31" s="73"/>
      <c r="C31" s="73"/>
      <c r="D31" s="73"/>
      <c r="E31" s="77">
        <f>SUM(E28:E30)</f>
        <v>100</v>
      </c>
      <c r="F31" s="73" t="s">
        <v>59</v>
      </c>
      <c r="G31" s="76" t="str">
        <f>IF(E31=100,J31,K31)</f>
        <v>Substratmix korrekt!</v>
      </c>
      <c r="H31" s="75"/>
      <c r="I31" s="75"/>
      <c r="J31" s="97" t="s">
        <v>194</v>
      </c>
      <c r="K31" s="96" t="s">
        <v>193</v>
      </c>
      <c r="L31" s="96"/>
      <c r="M31" s="96"/>
      <c r="N31" s="80"/>
    </row>
    <row r="32" spans="1:14" s="65" customFormat="1" ht="14.25" x14ac:dyDescent="0.2">
      <c r="A32" s="73"/>
      <c r="B32" s="73"/>
      <c r="C32" s="73"/>
      <c r="D32" s="73"/>
      <c r="E32" s="73"/>
      <c r="F32" s="73"/>
      <c r="G32" s="75"/>
      <c r="H32" s="75"/>
      <c r="I32" s="75"/>
      <c r="J32" s="96"/>
      <c r="K32" s="96"/>
      <c r="L32" s="96"/>
      <c r="M32" s="96"/>
      <c r="N32" s="80"/>
    </row>
    <row r="33" spans="1:14" s="65" customFormat="1" ht="15.75" x14ac:dyDescent="0.2">
      <c r="A33" s="72" t="s">
        <v>195</v>
      </c>
      <c r="B33" s="73"/>
      <c r="C33" s="73"/>
      <c r="D33" s="73"/>
      <c r="E33" s="73"/>
      <c r="F33" s="73"/>
      <c r="G33" s="75"/>
      <c r="H33" s="75"/>
      <c r="I33" s="75"/>
      <c r="J33" s="96"/>
      <c r="K33" s="96"/>
      <c r="L33" s="96"/>
      <c r="M33" s="96"/>
      <c r="N33" s="80"/>
    </row>
    <row r="34" spans="1:14" s="65" customFormat="1" ht="14.25" x14ac:dyDescent="0.2">
      <c r="A34" s="73" t="s">
        <v>199</v>
      </c>
      <c r="B34" s="73"/>
      <c r="C34" s="73"/>
      <c r="D34" s="73"/>
      <c r="E34" s="83">
        <f>IF(J19=1,'Einsparung Anlage abgeleitet'!B71,'Einsparung Anlage abgeleitet'!E71)</f>
        <v>163.46807368985873</v>
      </c>
      <c r="F34" s="73" t="s">
        <v>200</v>
      </c>
      <c r="G34" s="75"/>
      <c r="H34" s="75"/>
      <c r="I34" s="75"/>
      <c r="J34" s="96"/>
      <c r="K34" s="96"/>
      <c r="L34" s="96"/>
      <c r="M34" s="96"/>
      <c r="N34" s="80"/>
    </row>
    <row r="35" spans="1:14" s="65" customFormat="1" ht="14.25" x14ac:dyDescent="0.2">
      <c r="A35" s="73" t="s">
        <v>201</v>
      </c>
      <c r="B35" s="73"/>
      <c r="C35" s="73"/>
      <c r="D35" s="73"/>
      <c r="E35" s="83">
        <f>'Einsparung Anlage abgeleitet'!B64</f>
        <v>658.80000000000007</v>
      </c>
      <c r="F35" s="73" t="s">
        <v>200</v>
      </c>
      <c r="G35" s="73"/>
      <c r="H35" s="75"/>
      <c r="I35" s="75"/>
      <c r="J35" s="96"/>
      <c r="K35" s="96"/>
      <c r="L35" s="96"/>
      <c r="M35" s="96"/>
      <c r="N35" s="80"/>
    </row>
    <row r="36" spans="1:14" s="65" customFormat="1" ht="14.25" x14ac:dyDescent="0.2">
      <c r="A36" s="73" t="s">
        <v>206</v>
      </c>
      <c r="B36" s="73"/>
      <c r="C36" s="73"/>
      <c r="D36" s="73"/>
      <c r="E36" s="84">
        <f>'THG-Rechner Einzelanlage'!E35-'THG-Rechner Einzelanlage'!E34</f>
        <v>495.33192631014134</v>
      </c>
      <c r="F36" s="73" t="s">
        <v>200</v>
      </c>
      <c r="G36" s="73"/>
      <c r="H36" s="75"/>
      <c r="I36" s="75"/>
      <c r="J36" s="96"/>
      <c r="K36" s="96"/>
      <c r="L36" s="96"/>
      <c r="M36" s="96"/>
      <c r="N36" s="80"/>
    </row>
    <row r="37" spans="1:14" s="65" customFormat="1" ht="14.25" x14ac:dyDescent="0.2">
      <c r="A37" s="73" t="s">
        <v>202</v>
      </c>
      <c r="B37" s="73"/>
      <c r="C37" s="73"/>
      <c r="D37" s="73"/>
      <c r="E37" s="84">
        <f>E36/E35*100</f>
        <v>75.186995493342636</v>
      </c>
      <c r="F37" s="73" t="s">
        <v>59</v>
      </c>
      <c r="G37" s="73"/>
      <c r="H37" s="75"/>
      <c r="I37" s="75"/>
      <c r="J37" s="96"/>
      <c r="K37" s="96"/>
      <c r="L37" s="96"/>
      <c r="M37" s="96"/>
      <c r="N37" s="80"/>
    </row>
    <row r="38" spans="1:14" s="65" customFormat="1" ht="14.25" x14ac:dyDescent="0.2">
      <c r="A38" s="73"/>
      <c r="B38" s="73"/>
      <c r="C38" s="73"/>
      <c r="D38" s="73"/>
      <c r="E38" s="99"/>
      <c r="F38" s="73"/>
      <c r="G38" s="73"/>
      <c r="H38" s="75"/>
      <c r="I38" s="75"/>
      <c r="J38" s="96"/>
      <c r="K38" s="96"/>
      <c r="L38" s="96"/>
      <c r="M38" s="96"/>
      <c r="N38" s="80"/>
    </row>
    <row r="39" spans="1:14" s="65" customFormat="1" ht="14.25" x14ac:dyDescent="0.2">
      <c r="A39" s="73" t="s">
        <v>203</v>
      </c>
      <c r="B39" s="73"/>
      <c r="C39" s="73"/>
      <c r="D39" s="73"/>
      <c r="E39" s="83">
        <f>IF(J19=1,'Einsparung Anlage abgeleitet'!B76,'Einsparung Anlage abgeleitet'!E76)</f>
        <v>19.321926310141297</v>
      </c>
      <c r="F39" s="73" t="s">
        <v>200</v>
      </c>
      <c r="G39" s="73"/>
      <c r="H39" s="75"/>
      <c r="I39" s="75"/>
      <c r="J39" s="80"/>
      <c r="K39" s="80"/>
      <c r="L39" s="80"/>
      <c r="M39" s="80"/>
      <c r="N39" s="80"/>
    </row>
    <row r="40" spans="1:14" s="65" customFormat="1" ht="14.25" x14ac:dyDescent="0.2">
      <c r="A40" s="73" t="s">
        <v>204</v>
      </c>
      <c r="B40" s="73"/>
      <c r="C40" s="73"/>
      <c r="D40" s="73"/>
      <c r="E40" s="83">
        <f>'Einsparung Anlage abgeleitet'!B65</f>
        <v>288</v>
      </c>
      <c r="F40" s="73" t="s">
        <v>200</v>
      </c>
      <c r="G40" s="73"/>
      <c r="H40" s="75"/>
      <c r="I40" s="75"/>
      <c r="J40" s="80"/>
      <c r="K40" s="80"/>
      <c r="L40" s="80"/>
      <c r="M40" s="80"/>
      <c r="N40" s="80"/>
    </row>
    <row r="41" spans="1:14" s="65" customFormat="1" ht="14.25" x14ac:dyDescent="0.2">
      <c r="A41" s="73" t="s">
        <v>207</v>
      </c>
      <c r="B41" s="73"/>
      <c r="C41" s="73"/>
      <c r="D41" s="73"/>
      <c r="E41" s="84">
        <f>'THG-Rechner Einzelanlage'!E40-'THG-Rechner Einzelanlage'!E39</f>
        <v>268.67807368985871</v>
      </c>
      <c r="F41" s="73" t="s">
        <v>200</v>
      </c>
      <c r="G41" s="73"/>
      <c r="H41" s="75"/>
      <c r="I41" s="75"/>
      <c r="J41" s="80"/>
      <c r="K41" s="80"/>
      <c r="L41" s="80"/>
      <c r="M41" s="80"/>
      <c r="N41" s="80"/>
    </row>
    <row r="42" spans="1:14" s="65" customFormat="1" ht="14.25" x14ac:dyDescent="0.2">
      <c r="A42" s="73" t="s">
        <v>205</v>
      </c>
      <c r="B42" s="73"/>
      <c r="C42" s="73"/>
      <c r="D42" s="73"/>
      <c r="E42" s="84">
        <f>E41/E40*100</f>
        <v>93.290997808978716</v>
      </c>
      <c r="F42" s="73" t="s">
        <v>59</v>
      </c>
      <c r="G42" s="73"/>
      <c r="H42" s="75"/>
      <c r="I42" s="75"/>
      <c r="J42" s="80"/>
      <c r="K42" s="80"/>
      <c r="L42" s="80"/>
      <c r="M42" s="80"/>
      <c r="N42" s="80"/>
    </row>
    <row r="43" spans="1:14" s="65" customFormat="1" ht="14.25" x14ac:dyDescent="0.2">
      <c r="A43" s="73"/>
      <c r="B43" s="73"/>
      <c r="C43" s="73"/>
      <c r="D43" s="73"/>
      <c r="E43" s="85"/>
      <c r="F43" s="73"/>
      <c r="G43" s="73"/>
      <c r="H43" s="75"/>
      <c r="I43" s="75"/>
      <c r="J43" s="80"/>
      <c r="K43" s="80"/>
      <c r="L43" s="80"/>
      <c r="M43" s="80"/>
      <c r="N43" s="80"/>
    </row>
    <row r="44" spans="1:14" s="66" customFormat="1" ht="18.75" x14ac:dyDescent="0.2">
      <c r="A44" s="86" t="s">
        <v>208</v>
      </c>
      <c r="B44" s="86"/>
      <c r="C44" s="86"/>
      <c r="D44" s="86"/>
      <c r="E44" s="87">
        <f>IF(J19=1,'Einsparung Anlage abgeleitet'!B89,'Einsparung Anlage abgeleitet'!E89)</f>
        <v>175.46738526202827</v>
      </c>
      <c r="F44" s="86" t="s">
        <v>218</v>
      </c>
      <c r="G44" s="86"/>
      <c r="H44" s="86"/>
      <c r="I44" s="86"/>
      <c r="J44" s="95"/>
      <c r="K44" s="95"/>
      <c r="L44" s="95"/>
      <c r="M44" s="95"/>
      <c r="N44" s="95"/>
    </row>
    <row r="45" spans="1:14" s="65" customFormat="1" x14ac:dyDescent="0.2">
      <c r="A45" s="75"/>
      <c r="B45" s="75"/>
      <c r="C45" s="75"/>
      <c r="D45" s="75"/>
      <c r="E45" s="75"/>
      <c r="F45" s="75"/>
      <c r="G45" s="75"/>
      <c r="H45" s="75"/>
      <c r="I45" s="75"/>
      <c r="J45" s="80"/>
      <c r="K45" s="80"/>
      <c r="L45" s="80"/>
      <c r="M45" s="80"/>
      <c r="N45" s="80"/>
    </row>
    <row r="46" spans="1:14" s="69" customFormat="1" ht="14.25" x14ac:dyDescent="0.2">
      <c r="A46" s="73" t="s">
        <v>219</v>
      </c>
      <c r="B46" s="73"/>
      <c r="C46" s="73"/>
      <c r="D46" s="73"/>
      <c r="E46" s="83">
        <f>E44/J46</f>
        <v>14.87011739508714</v>
      </c>
      <c r="F46" s="73"/>
      <c r="G46" s="73"/>
      <c r="H46" s="73"/>
      <c r="I46" s="73"/>
      <c r="J46" s="68">
        <v>11.8</v>
      </c>
      <c r="K46" s="68" t="s">
        <v>220</v>
      </c>
      <c r="L46" s="68"/>
      <c r="M46" s="68" t="s">
        <v>221</v>
      </c>
      <c r="N46" s="68"/>
    </row>
    <row r="47" spans="1:14" s="65" customFormat="1" ht="14.25" x14ac:dyDescent="0.2">
      <c r="A47" s="73" t="s">
        <v>225</v>
      </c>
      <c r="B47" s="73"/>
      <c r="C47" s="73"/>
      <c r="D47" s="73"/>
      <c r="E47" s="83">
        <f>E46/J50</f>
        <v>3.856358245613885</v>
      </c>
      <c r="F47" s="73"/>
      <c r="G47" s="73"/>
      <c r="H47" s="75"/>
      <c r="I47" s="75"/>
      <c r="J47" s="80"/>
      <c r="K47" s="80"/>
      <c r="L47" s="80"/>
      <c r="M47" s="80" t="s">
        <v>222</v>
      </c>
      <c r="N47" s="80"/>
    </row>
    <row r="48" spans="1:14" s="65" customFormat="1" ht="14.25" x14ac:dyDescent="0.2">
      <c r="A48" s="73" t="s">
        <v>226</v>
      </c>
      <c r="B48" s="73"/>
      <c r="C48" s="73"/>
      <c r="D48" s="73"/>
      <c r="E48" s="83">
        <f>E44/J51</f>
        <v>70.186954104811306</v>
      </c>
      <c r="F48" s="73"/>
      <c r="G48" s="73"/>
      <c r="H48" s="75"/>
      <c r="I48" s="75"/>
      <c r="J48" s="80"/>
      <c r="K48" s="80"/>
      <c r="L48" s="80"/>
      <c r="M48" s="80" t="s">
        <v>223</v>
      </c>
      <c r="N48" s="80"/>
    </row>
    <row r="49" spans="1:14" ht="14.25" x14ac:dyDescent="0.2">
      <c r="A49" s="71"/>
      <c r="B49" s="71"/>
      <c r="C49" s="71"/>
      <c r="D49" s="71"/>
      <c r="E49" s="71"/>
      <c r="F49" s="71"/>
      <c r="G49" s="71"/>
      <c r="H49" s="70"/>
      <c r="I49" s="70"/>
      <c r="J49" s="80"/>
      <c r="K49" s="80"/>
      <c r="L49" s="80"/>
      <c r="M49" s="80"/>
      <c r="N49" s="80"/>
    </row>
    <row r="50" spans="1:14" ht="14.25" x14ac:dyDescent="0.2">
      <c r="A50" s="71"/>
      <c r="B50" s="71"/>
      <c r="C50" s="71"/>
      <c r="D50" s="71"/>
      <c r="E50" s="71"/>
      <c r="F50" s="71"/>
      <c r="G50" s="71"/>
      <c r="H50" s="70"/>
      <c r="I50" s="70"/>
      <c r="J50" s="80">
        <v>3.8559999999999999</v>
      </c>
      <c r="K50" s="80" t="s">
        <v>224</v>
      </c>
      <c r="L50" s="80"/>
      <c r="M50" s="80"/>
      <c r="N50" s="80"/>
    </row>
    <row r="51" spans="1:14" ht="14.25" x14ac:dyDescent="0.2">
      <c r="A51" s="71"/>
      <c r="B51" s="71"/>
      <c r="C51" s="71"/>
      <c r="D51" s="71"/>
      <c r="E51" s="71"/>
      <c r="F51" s="71"/>
      <c r="G51" s="71"/>
      <c r="H51" s="70"/>
      <c r="I51" s="70"/>
      <c r="J51" s="80">
        <v>2.5</v>
      </c>
      <c r="K51" s="80" t="s">
        <v>227</v>
      </c>
      <c r="L51" s="80"/>
      <c r="M51" s="80"/>
      <c r="N51" s="80"/>
    </row>
    <row r="52" spans="1:14" x14ac:dyDescent="0.2">
      <c r="A52" s="75" t="s">
        <v>209</v>
      </c>
      <c r="B52" s="70"/>
      <c r="C52" s="70"/>
      <c r="D52" s="70"/>
      <c r="E52" s="70"/>
      <c r="F52" s="70"/>
      <c r="G52" s="70"/>
      <c r="H52" s="70"/>
      <c r="I52" s="70"/>
      <c r="J52" s="80"/>
      <c r="K52" s="80"/>
      <c r="L52" s="80"/>
      <c r="M52" s="80"/>
      <c r="N52" s="80"/>
    </row>
    <row r="53" spans="1:14" x14ac:dyDescent="0.2">
      <c r="A53" s="70"/>
      <c r="B53" s="70"/>
      <c r="C53" s="70"/>
      <c r="D53" s="70"/>
      <c r="E53" s="70"/>
      <c r="F53" s="70"/>
      <c r="G53" s="70"/>
      <c r="H53" s="70"/>
      <c r="I53" s="70"/>
      <c r="J53" s="80"/>
      <c r="K53" s="80"/>
      <c r="L53" s="80"/>
      <c r="M53" s="80"/>
      <c r="N53" s="80"/>
    </row>
    <row r="54" spans="1:14" x14ac:dyDescent="0.2">
      <c r="A54" s="70"/>
      <c r="B54" s="70"/>
      <c r="C54" s="70"/>
      <c r="D54" s="70"/>
      <c r="E54" s="70"/>
      <c r="F54" s="70"/>
      <c r="G54" s="70"/>
      <c r="H54" s="70"/>
      <c r="I54" s="70"/>
      <c r="J54" s="80"/>
      <c r="K54" s="80"/>
      <c r="L54" s="80"/>
      <c r="M54" s="80"/>
      <c r="N54" s="80"/>
    </row>
    <row r="55" spans="1:14" x14ac:dyDescent="0.2">
      <c r="A55" s="70"/>
      <c r="B55" s="70"/>
      <c r="C55" s="70"/>
      <c r="D55" s="70"/>
      <c r="E55" s="70"/>
      <c r="F55" s="70"/>
      <c r="G55" s="70"/>
      <c r="H55" s="70"/>
      <c r="I55" s="70"/>
      <c r="J55" s="80"/>
      <c r="K55" s="80"/>
      <c r="L55" s="80"/>
      <c r="M55" s="80"/>
      <c r="N55" s="80"/>
    </row>
    <row r="56" spans="1:14" x14ac:dyDescent="0.2">
      <c r="A56" s="70"/>
      <c r="B56" s="70"/>
      <c r="C56" s="70"/>
      <c r="D56" s="70"/>
      <c r="E56" s="70"/>
      <c r="F56" s="70"/>
      <c r="G56" s="70"/>
      <c r="H56" s="70"/>
      <c r="I56" s="70"/>
      <c r="J56" s="80"/>
      <c r="K56" s="80"/>
      <c r="L56" s="80"/>
      <c r="M56" s="80"/>
      <c r="N56" s="80"/>
    </row>
    <row r="57" spans="1:14" x14ac:dyDescent="0.2">
      <c r="A57" s="70"/>
      <c r="B57" s="70"/>
      <c r="C57" s="70"/>
      <c r="D57" s="70"/>
      <c r="E57" s="70"/>
      <c r="F57" s="70"/>
      <c r="G57" s="70"/>
      <c r="H57" s="70"/>
      <c r="I57" s="70"/>
      <c r="J57" s="80"/>
      <c r="K57" s="80"/>
      <c r="L57" s="80"/>
      <c r="M57" s="80"/>
      <c r="N57" s="80"/>
    </row>
    <row r="58" spans="1:14" x14ac:dyDescent="0.2">
      <c r="A58" s="70"/>
      <c r="B58" s="70"/>
      <c r="C58" s="70"/>
      <c r="D58" s="70"/>
      <c r="E58" s="70"/>
      <c r="F58" s="70"/>
      <c r="G58" s="70"/>
      <c r="H58" s="70"/>
      <c r="I58" s="70"/>
      <c r="J58" s="80"/>
      <c r="K58" s="80"/>
      <c r="L58" s="80"/>
      <c r="M58" s="80"/>
      <c r="N58" s="80"/>
    </row>
    <row r="59" spans="1:14" x14ac:dyDescent="0.2">
      <c r="A59" s="70"/>
      <c r="B59" s="70"/>
      <c r="C59" s="70"/>
      <c r="D59" s="70"/>
      <c r="E59" s="70"/>
      <c r="F59" s="70"/>
      <c r="G59" s="70"/>
      <c r="H59" s="70"/>
      <c r="I59" s="70"/>
      <c r="J59" s="80"/>
      <c r="K59" s="80"/>
      <c r="L59" s="80"/>
      <c r="M59" s="80"/>
      <c r="N59" s="80"/>
    </row>
    <row r="60" spans="1:14" x14ac:dyDescent="0.2">
      <c r="A60" s="70"/>
      <c r="B60" s="70"/>
      <c r="C60" s="70"/>
      <c r="D60" s="70"/>
      <c r="E60" s="70"/>
      <c r="F60" s="70"/>
      <c r="G60" s="70"/>
      <c r="H60" s="70"/>
      <c r="I60" s="70"/>
      <c r="J60" s="80"/>
      <c r="K60" s="80"/>
      <c r="L60" s="80"/>
      <c r="M60" s="80"/>
      <c r="N60" s="80"/>
    </row>
    <row r="61" spans="1:14" x14ac:dyDescent="0.2">
      <c r="A61" s="70"/>
      <c r="B61" s="70"/>
      <c r="C61" s="70"/>
      <c r="D61" s="70"/>
      <c r="E61" s="70"/>
      <c r="F61" s="70"/>
      <c r="G61" s="70"/>
      <c r="H61" s="70"/>
      <c r="I61" s="70"/>
      <c r="J61" s="80"/>
      <c r="K61" s="80"/>
      <c r="L61" s="80"/>
      <c r="M61" s="80"/>
      <c r="N61" s="80"/>
    </row>
    <row r="62" spans="1:14" ht="9" customHeight="1" x14ac:dyDescent="0.2">
      <c r="A62" s="70"/>
      <c r="B62" s="70"/>
      <c r="C62" s="70"/>
      <c r="D62" s="70"/>
      <c r="E62" s="70"/>
      <c r="F62" s="70"/>
      <c r="G62" s="70"/>
      <c r="H62" s="70"/>
      <c r="I62" s="70"/>
      <c r="J62" s="80"/>
      <c r="K62" s="80"/>
      <c r="L62" s="80"/>
      <c r="M62" s="80"/>
      <c r="N62" s="80"/>
    </row>
    <row r="63" spans="1:14" s="65" customFormat="1" x14ac:dyDescent="0.2">
      <c r="A63" s="75" t="s">
        <v>229</v>
      </c>
      <c r="B63" s="75"/>
      <c r="C63" s="75"/>
      <c r="D63" s="75"/>
      <c r="E63" s="75"/>
      <c r="F63" s="75"/>
      <c r="G63" s="75"/>
      <c r="H63" s="75"/>
      <c r="I63" s="75"/>
    </row>
    <row r="64" spans="1:14" s="65" customFormat="1" x14ac:dyDescent="0.2">
      <c r="A64" s="75"/>
      <c r="B64" s="75"/>
      <c r="C64" s="75"/>
      <c r="D64" s="75"/>
      <c r="E64" s="75"/>
      <c r="F64" s="75"/>
      <c r="G64" s="75"/>
      <c r="H64" s="75"/>
      <c r="I64" s="75"/>
    </row>
    <row r="65" spans="1:9" x14ac:dyDescent="0.2">
      <c r="A65" s="70"/>
      <c r="B65" s="70"/>
      <c r="C65" s="70"/>
      <c r="D65" s="70"/>
      <c r="E65" s="70"/>
      <c r="F65" s="70"/>
      <c r="G65" s="70"/>
      <c r="H65" s="70"/>
      <c r="I65" s="70"/>
    </row>
    <row r="66" spans="1:9" x14ac:dyDescent="0.2">
      <c r="A66" s="70"/>
      <c r="B66" s="70"/>
      <c r="C66" s="70"/>
      <c r="D66" s="70"/>
      <c r="E66" s="70"/>
      <c r="F66" s="70"/>
      <c r="G66" s="70"/>
      <c r="H66" s="70"/>
      <c r="I66" s="70"/>
    </row>
    <row r="67" spans="1:9" x14ac:dyDescent="0.2">
      <c r="A67" s="70"/>
      <c r="B67" s="70"/>
      <c r="C67" s="70"/>
      <c r="D67" s="70"/>
      <c r="E67" s="70"/>
      <c r="F67" s="70"/>
      <c r="G67" s="70"/>
      <c r="H67" s="70"/>
      <c r="I67" s="70"/>
    </row>
    <row r="68" spans="1:9" x14ac:dyDescent="0.2">
      <c r="A68" s="70"/>
      <c r="B68" s="70"/>
      <c r="C68" s="70"/>
      <c r="D68" s="70"/>
      <c r="E68" s="70"/>
      <c r="F68" s="70"/>
      <c r="G68" s="70"/>
      <c r="H68" s="70"/>
      <c r="I68" s="70"/>
    </row>
  </sheetData>
  <sheetProtection algorithmName="SHA-512" hashValue="6oSqiuGTxKogQ9aOjbj440R2cKzsEUwGj/3Krwr+vzcsXBE8UN4y+scJDEhkVHgxk2zaUD2fwhV92+EneyXelA==" saltValue="Phfi9l1zujGUBUqFCzAfKg==" spinCount="100000" sheet="1" objects="1" scenarios="1"/>
  <conditionalFormatting sqref="E36:E37 E41:E42">
    <cfRule type="expression" dxfId="0" priority="4">
      <formula>"$E$38&gt;0"</formula>
    </cfRule>
  </conditionalFormatting>
  <pageMargins left="0.7" right="0.7" top="0.78740157499999996" bottom="0.78740157499999996" header="0.3" footer="0.3"/>
  <pageSetup paperSize="9" scale="73" fitToWidth="0" fitToHeight="0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03" r:id="rId4" name="Scroll Bar 7">
              <controlPr defaultSize="0" autoPict="0">
                <anchor moveWithCells="1">
                  <from>
                    <xdr:col>2</xdr:col>
                    <xdr:colOff>809625</xdr:colOff>
                    <xdr:row>23</xdr:row>
                    <xdr:rowOff>171450</xdr:rowOff>
                  </from>
                  <to>
                    <xdr:col>3</xdr:col>
                    <xdr:colOff>866775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5" name="Scroll Bar 10">
              <controlPr defaultSize="0" autoPict="0">
                <anchor moveWithCells="1">
                  <from>
                    <xdr:col>2</xdr:col>
                    <xdr:colOff>809625</xdr:colOff>
                    <xdr:row>27</xdr:row>
                    <xdr:rowOff>47625</xdr:rowOff>
                  </from>
                  <to>
                    <xdr:col>3</xdr:col>
                    <xdr:colOff>866775</xdr:colOff>
                    <xdr:row>28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6" name="Scroll Bar 11">
              <controlPr defaultSize="0" autoPict="0">
                <anchor moveWithCells="1">
                  <from>
                    <xdr:col>2</xdr:col>
                    <xdr:colOff>819150</xdr:colOff>
                    <xdr:row>28</xdr:row>
                    <xdr:rowOff>28575</xdr:rowOff>
                  </from>
                  <to>
                    <xdr:col>3</xdr:col>
                    <xdr:colOff>876300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7" name="Scroll Bar 12">
              <controlPr defaultSize="0" autoPict="0">
                <anchor moveWithCells="1">
                  <from>
                    <xdr:col>2</xdr:col>
                    <xdr:colOff>819150</xdr:colOff>
                    <xdr:row>29</xdr:row>
                    <xdr:rowOff>19050</xdr:rowOff>
                  </from>
                  <to>
                    <xdr:col>3</xdr:col>
                    <xdr:colOff>876300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8" name="Option Button 2">
              <controlPr defaultSize="0" autoFill="0" autoLine="0" autoPict="0">
                <anchor moveWithCells="1" sizeWithCells="1">
                  <from>
                    <xdr:col>2</xdr:col>
                    <xdr:colOff>819150</xdr:colOff>
                    <xdr:row>17</xdr:row>
                    <xdr:rowOff>142875</xdr:rowOff>
                  </from>
                  <to>
                    <xdr:col>3</xdr:col>
                    <xdr:colOff>762000</xdr:colOff>
                    <xdr:row>19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9" name="Option Button 3">
              <controlPr defaultSize="0" autoFill="0" autoLine="0" autoPict="0" altText="nein">
                <anchor moveWithCells="1" sizeWithCells="1">
                  <from>
                    <xdr:col>3</xdr:col>
                    <xdr:colOff>762000</xdr:colOff>
                    <xdr:row>17</xdr:row>
                    <xdr:rowOff>142875</xdr:rowOff>
                  </from>
                  <to>
                    <xdr:col>4</xdr:col>
                    <xdr:colOff>9525</xdr:colOff>
                    <xdr:row>19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4"/>
  </sheetPr>
  <dimension ref="A1:M85"/>
  <sheetViews>
    <sheetView zoomScale="80" zoomScaleNormal="80" workbookViewId="0">
      <selection activeCell="D20" sqref="D20"/>
    </sheetView>
  </sheetViews>
  <sheetFormatPr baseColWidth="10" defaultRowHeight="12.75" x14ac:dyDescent="0.2"/>
  <cols>
    <col min="1" max="1" width="20.875" style="1" customWidth="1"/>
    <col min="2" max="2" width="11" style="1"/>
    <col min="3" max="4" width="13.875" style="1" bestFit="1" customWidth="1"/>
    <col min="5" max="5" width="13.875" style="1" customWidth="1"/>
    <col min="6" max="10" width="11" style="1"/>
    <col min="11" max="11" width="23.875" style="1" customWidth="1"/>
    <col min="12" max="12" width="19.375" style="1" customWidth="1"/>
    <col min="13" max="13" width="15.375" style="1" customWidth="1"/>
    <col min="14" max="16384" width="11" style="1"/>
  </cols>
  <sheetData>
    <row r="1" spans="1:13" ht="18" x14ac:dyDescent="0.25">
      <c r="A1" s="2" t="s">
        <v>0</v>
      </c>
    </row>
    <row r="3" spans="1:13" x14ac:dyDescent="0.2">
      <c r="A3" s="1" t="s">
        <v>75</v>
      </c>
      <c r="B3" s="31"/>
    </row>
    <row r="4" spans="1:13" x14ac:dyDescent="0.2">
      <c r="A4" s="1" t="s">
        <v>1</v>
      </c>
      <c r="B4" s="1" t="s">
        <v>2</v>
      </c>
    </row>
    <row r="5" spans="1:13" x14ac:dyDescent="0.2">
      <c r="B5" s="1" t="s">
        <v>3</v>
      </c>
    </row>
    <row r="6" spans="1:13" x14ac:dyDescent="0.2">
      <c r="B6" s="1" t="s">
        <v>176</v>
      </c>
    </row>
    <row r="7" spans="1:13" x14ac:dyDescent="0.2">
      <c r="B7" s="54" t="s">
        <v>175</v>
      </c>
    </row>
    <row r="10" spans="1:13" x14ac:dyDescent="0.2">
      <c r="A10" s="1" t="s">
        <v>62</v>
      </c>
    </row>
    <row r="11" spans="1:13" ht="42.75" customHeight="1" x14ac:dyDescent="0.2">
      <c r="K11" s="58" t="s">
        <v>147</v>
      </c>
      <c r="L11" s="58" t="s">
        <v>173</v>
      </c>
      <c r="M11" s="58" t="s">
        <v>174</v>
      </c>
    </row>
    <row r="12" spans="1:13" x14ac:dyDescent="0.2">
      <c r="B12" s="1" t="s">
        <v>76</v>
      </c>
      <c r="C12" s="1" t="s">
        <v>165</v>
      </c>
      <c r="D12" s="1" t="s">
        <v>166</v>
      </c>
      <c r="E12" s="1" t="s">
        <v>167</v>
      </c>
      <c r="F12" s="59">
        <v>0.2</v>
      </c>
      <c r="G12" s="1" t="s">
        <v>168</v>
      </c>
      <c r="H12" s="55" t="s">
        <v>172</v>
      </c>
      <c r="I12" s="56"/>
      <c r="J12" s="56"/>
      <c r="K12" s="57">
        <f>E85</f>
        <v>19.168844836681924</v>
      </c>
      <c r="L12" s="57">
        <f>E75</f>
        <v>472.27131960888664</v>
      </c>
      <c r="M12" s="57">
        <f>E76</f>
        <v>71.686599819199529</v>
      </c>
    </row>
    <row r="13" spans="1:13" ht="25.5" x14ac:dyDescent="0.2">
      <c r="A13" s="29" t="s">
        <v>64</v>
      </c>
      <c r="B13" s="30">
        <v>31.4</v>
      </c>
      <c r="C13" s="30">
        <v>31.4</v>
      </c>
      <c r="D13" s="30">
        <v>31.4</v>
      </c>
      <c r="E13" s="30"/>
      <c r="G13" s="1" t="s">
        <v>65</v>
      </c>
    </row>
    <row r="14" spans="1:13" ht="25.5" x14ac:dyDescent="0.2">
      <c r="A14" s="29" t="s">
        <v>153</v>
      </c>
      <c r="B14" s="30">
        <v>16.78</v>
      </c>
      <c r="C14" s="30">
        <v>16.78</v>
      </c>
      <c r="D14" s="30">
        <v>16.78</v>
      </c>
      <c r="E14" s="30"/>
      <c r="G14" s="1" t="s">
        <v>65</v>
      </c>
    </row>
    <row r="15" spans="1:13" x14ac:dyDescent="0.2">
      <c r="A15" s="32"/>
      <c r="B15" s="61"/>
      <c r="C15" s="33"/>
      <c r="D15" s="33"/>
      <c r="E15" s="33"/>
    </row>
    <row r="16" spans="1:13" ht="25.5" x14ac:dyDescent="0.2">
      <c r="A16" s="29" t="s">
        <v>69</v>
      </c>
      <c r="B16" s="60">
        <v>40</v>
      </c>
      <c r="C16" s="30">
        <v>40</v>
      </c>
      <c r="D16" s="30">
        <v>40</v>
      </c>
      <c r="E16" s="30"/>
      <c r="G16" s="1" t="s">
        <v>73</v>
      </c>
    </row>
    <row r="17" spans="1:7" ht="25.5" x14ac:dyDescent="0.2">
      <c r="A17" s="29" t="s">
        <v>70</v>
      </c>
      <c r="B17" s="60">
        <v>45</v>
      </c>
      <c r="C17" s="30">
        <v>45</v>
      </c>
      <c r="D17" s="30">
        <v>45</v>
      </c>
      <c r="E17" s="30"/>
      <c r="G17" s="1" t="s">
        <v>73</v>
      </c>
    </row>
    <row r="18" spans="1:7" ht="25.5" x14ac:dyDescent="0.2">
      <c r="A18" s="29" t="s">
        <v>66</v>
      </c>
      <c r="B18" s="60">
        <v>30</v>
      </c>
      <c r="C18" s="30">
        <v>30</v>
      </c>
      <c r="D18" s="30">
        <v>30</v>
      </c>
      <c r="E18" s="30"/>
      <c r="G18" s="1" t="s">
        <v>74</v>
      </c>
    </row>
    <row r="19" spans="1:7" ht="38.25" x14ac:dyDescent="0.2">
      <c r="A19" s="29" t="s">
        <v>77</v>
      </c>
      <c r="B19" s="30">
        <f>B17-B18/100*B17</f>
        <v>31.5</v>
      </c>
      <c r="C19" s="30">
        <f>C17-C18/100*C17</f>
        <v>31.5</v>
      </c>
      <c r="D19" s="30">
        <f>D17-D18/100*D17</f>
        <v>31.5</v>
      </c>
      <c r="E19" s="30"/>
    </row>
    <row r="20" spans="1:7" ht="25.5" x14ac:dyDescent="0.2">
      <c r="A20" s="29" t="s">
        <v>78</v>
      </c>
      <c r="B20" s="30">
        <f>B14/B13*B16/B19*100</f>
        <v>67.859670407441115</v>
      </c>
      <c r="C20" s="30">
        <f>C14/C13*C16/C19*100</f>
        <v>67.859670407441115</v>
      </c>
      <c r="D20" s="30">
        <f>D14/D13*D16/D19*100</f>
        <v>67.859670407441115</v>
      </c>
      <c r="E20" s="30"/>
      <c r="G20" s="1" t="s">
        <v>155</v>
      </c>
    </row>
    <row r="21" spans="1:7" ht="25.5" x14ac:dyDescent="0.2">
      <c r="A21" s="29" t="s">
        <v>81</v>
      </c>
      <c r="B21" s="30">
        <f>('Allokationsformel Strom &amp; Wärme'!$B$31*'Einsparung Branche'!B16/100)/(('Allokationsformel Strom &amp; Wärme'!$B$31*'Einsparung Branche'!B16/100)+('Allokationsformel Strom &amp; Wärme'!$B$32*'Einsparung Branche'!B19/100*B20/100))*100</f>
        <v>84.069188620951522</v>
      </c>
      <c r="C21" s="30">
        <f>('Allokationsformel Strom &amp; Wärme'!$B$31*'Einsparung Branche'!C16/100)/(('Allokationsformel Strom &amp; Wärme'!$B$31*'Einsparung Branche'!C16/100)+('Allokationsformel Strom &amp; Wärme'!$B$32*'Einsparung Branche'!C19/100*C20/100))*100</f>
        <v>84.069188620951522</v>
      </c>
      <c r="D21" s="30">
        <f>('Allokationsformel Strom &amp; Wärme'!$B$31*'Einsparung Branche'!D16/100)/(('Allokationsformel Strom &amp; Wärme'!$B$31*'Einsparung Branche'!D16/100)+('Allokationsformel Strom &amp; Wärme'!$B$32*'Einsparung Branche'!D19/100*D20/100))*100</f>
        <v>84.069188620951522</v>
      </c>
      <c r="E21" s="30"/>
    </row>
    <row r="22" spans="1:7" ht="25.5" x14ac:dyDescent="0.2">
      <c r="A22" s="29" t="s">
        <v>84</v>
      </c>
      <c r="B22" s="30">
        <f>100-B21</f>
        <v>15.930811379048478</v>
      </c>
      <c r="C22" s="30">
        <f>100-C21</f>
        <v>15.930811379048478</v>
      </c>
      <c r="D22" s="30">
        <f>100-D21</f>
        <v>15.930811379048478</v>
      </c>
      <c r="E22" s="30"/>
    </row>
    <row r="23" spans="1:7" x14ac:dyDescent="0.2">
      <c r="A23" s="34"/>
      <c r="B23" s="33"/>
      <c r="C23" s="33"/>
      <c r="D23" s="33"/>
      <c r="E23" s="33"/>
    </row>
    <row r="24" spans="1:7" x14ac:dyDescent="0.2">
      <c r="A24" s="29" t="s">
        <v>89</v>
      </c>
      <c r="B24" s="30"/>
      <c r="C24" s="30"/>
      <c r="D24" s="30"/>
      <c r="E24" s="30"/>
    </row>
    <row r="25" spans="1:7" x14ac:dyDescent="0.2">
      <c r="A25" s="29" t="s">
        <v>90</v>
      </c>
      <c r="B25" s="60">
        <v>81.5</v>
      </c>
      <c r="C25" s="30">
        <v>81.5</v>
      </c>
      <c r="D25" s="30">
        <v>81.5</v>
      </c>
      <c r="E25" s="30"/>
      <c r="G25" s="1" t="s">
        <v>92</v>
      </c>
    </row>
    <row r="26" spans="1:7" x14ac:dyDescent="0.2">
      <c r="A26" s="29" t="s">
        <v>93</v>
      </c>
      <c r="B26" s="60">
        <v>13.7</v>
      </c>
      <c r="C26" s="30">
        <v>13.7</v>
      </c>
      <c r="D26" s="30">
        <v>13.7</v>
      </c>
      <c r="E26" s="30"/>
    </row>
    <row r="27" spans="1:7" x14ac:dyDescent="0.2">
      <c r="A27" s="29" t="s">
        <v>94</v>
      </c>
      <c r="B27" s="60">
        <v>4.8</v>
      </c>
      <c r="C27" s="30">
        <v>4.8</v>
      </c>
      <c r="D27" s="30">
        <v>4.8</v>
      </c>
      <c r="E27" s="30"/>
    </row>
    <row r="28" spans="1:7" x14ac:dyDescent="0.2">
      <c r="A28" s="35" t="s">
        <v>107</v>
      </c>
      <c r="B28" s="36"/>
      <c r="C28" s="36"/>
      <c r="D28" s="36"/>
      <c r="E28" s="36"/>
    </row>
    <row r="29" spans="1:7" ht="43.5" customHeight="1" x14ac:dyDescent="0.2">
      <c r="A29" s="29" t="s">
        <v>95</v>
      </c>
      <c r="B29" s="30">
        <v>35</v>
      </c>
      <c r="C29" s="30">
        <v>35</v>
      </c>
      <c r="D29" s="1">
        <v>54</v>
      </c>
      <c r="G29" s="1" t="s">
        <v>96</v>
      </c>
    </row>
    <row r="30" spans="1:7" ht="40.5" customHeight="1" x14ac:dyDescent="0.2">
      <c r="A30" s="29" t="s">
        <v>97</v>
      </c>
      <c r="B30" s="30">
        <v>-78</v>
      </c>
      <c r="C30" s="30">
        <v>-78</v>
      </c>
      <c r="D30" s="1">
        <v>10</v>
      </c>
      <c r="G30" s="1" t="s">
        <v>96</v>
      </c>
    </row>
    <row r="31" spans="1:7" ht="42.75" customHeight="1" x14ac:dyDescent="0.2">
      <c r="A31" s="29" t="s">
        <v>98</v>
      </c>
      <c r="B31" s="30">
        <v>21</v>
      </c>
      <c r="C31" s="30">
        <v>21</v>
      </c>
      <c r="D31" s="1">
        <v>52</v>
      </c>
      <c r="G31" s="1" t="s">
        <v>96</v>
      </c>
    </row>
    <row r="32" spans="1:7" ht="25.5" x14ac:dyDescent="0.2">
      <c r="A32" s="29" t="s">
        <v>103</v>
      </c>
      <c r="B32" s="30">
        <v>183</v>
      </c>
      <c r="C32" s="30">
        <v>183</v>
      </c>
      <c r="D32" s="30">
        <v>183</v>
      </c>
      <c r="E32" s="30"/>
      <c r="G32" s="1" t="s">
        <v>105</v>
      </c>
    </row>
    <row r="33" spans="1:7" ht="25.5" x14ac:dyDescent="0.2">
      <c r="A33" s="29" t="s">
        <v>104</v>
      </c>
      <c r="B33" s="30">
        <v>80</v>
      </c>
      <c r="C33" s="30">
        <v>80</v>
      </c>
      <c r="D33" s="30">
        <v>80</v>
      </c>
      <c r="E33" s="30"/>
      <c r="G33" s="1" t="s">
        <v>106</v>
      </c>
    </row>
    <row r="34" spans="1:7" x14ac:dyDescent="0.2">
      <c r="A34" s="35" t="s">
        <v>107</v>
      </c>
      <c r="B34" s="36"/>
      <c r="C34" s="36"/>
      <c r="D34" s="36"/>
      <c r="E34" s="36"/>
    </row>
    <row r="35" spans="1:7" x14ac:dyDescent="0.2">
      <c r="A35" s="29" t="s">
        <v>99</v>
      </c>
      <c r="B35" s="30"/>
      <c r="C35" s="30"/>
    </row>
    <row r="36" spans="1:7" ht="25.5" x14ac:dyDescent="0.2">
      <c r="A36" s="29" t="s">
        <v>100</v>
      </c>
      <c r="B36" s="30">
        <f t="shared" ref="B36:C38" si="0">B29/(B$16/100)*(B$21/100)</f>
        <v>73.56054004333258</v>
      </c>
      <c r="C36" s="30">
        <f t="shared" si="0"/>
        <v>73.56054004333258</v>
      </c>
      <c r="D36" s="30">
        <f t="shared" ref="D36" si="1">D29/(D$16/100)*(D$21/100)</f>
        <v>113.49340463828455</v>
      </c>
      <c r="E36" s="30">
        <f>C36*(1-$F$12)+$F$12*D36</f>
        <v>81.547112962322984</v>
      </c>
    </row>
    <row r="37" spans="1:7" ht="24.75" customHeight="1" x14ac:dyDescent="0.2">
      <c r="A37" s="29" t="s">
        <v>101</v>
      </c>
      <c r="B37" s="30">
        <f t="shared" si="0"/>
        <v>-163.93491781085547</v>
      </c>
      <c r="C37" s="30">
        <f t="shared" si="0"/>
        <v>-163.93491781085547</v>
      </c>
      <c r="D37" s="30">
        <f t="shared" ref="D37" si="2">D30/(D$16/100)*(D$21/100)</f>
        <v>21.01729715523788</v>
      </c>
      <c r="E37" s="30">
        <f>C37*(1-$F$12)+$F$12*D37</f>
        <v>-126.9444748176368</v>
      </c>
    </row>
    <row r="38" spans="1:7" ht="38.25" x14ac:dyDescent="0.2">
      <c r="A38" s="29" t="s">
        <v>102</v>
      </c>
      <c r="B38" s="30">
        <f t="shared" si="0"/>
        <v>44.136324025999549</v>
      </c>
      <c r="C38" s="30">
        <f t="shared" si="0"/>
        <v>44.136324025999549</v>
      </c>
      <c r="D38" s="30">
        <f t="shared" ref="D38" si="3">D31/(D$16/100)*(D$21/100)</f>
        <v>109.28994520723697</v>
      </c>
      <c r="E38" s="30">
        <f t="shared" ref="E38:E44" si="4">C38*(1-$F$12)+$F$12*D38</f>
        <v>57.167048262247036</v>
      </c>
    </row>
    <row r="39" spans="1:7" ht="25.5" x14ac:dyDescent="0.2">
      <c r="A39" s="29" t="s">
        <v>108</v>
      </c>
      <c r="B39" s="30">
        <f>(B25*B36+B26*B37+B27*B38)/100</f>
        <v>39.611299948476834</v>
      </c>
      <c r="C39" s="30">
        <f>(C25*C36+C26*C37+C27*C38)/100</f>
        <v>39.611299948476834</v>
      </c>
      <c r="D39" s="30">
        <f>(D25*D36+D26*D37+D27*D38)/100</f>
        <v>100.62241186041688</v>
      </c>
      <c r="E39" s="30">
        <f t="shared" si="4"/>
        <v>51.813522330864842</v>
      </c>
    </row>
    <row r="40" spans="1:7" x14ac:dyDescent="0.2">
      <c r="B40" s="30"/>
      <c r="C40" s="30"/>
      <c r="D40" s="30"/>
      <c r="E40" s="30">
        <f t="shared" si="4"/>
        <v>0</v>
      </c>
    </row>
    <row r="41" spans="1:7" ht="25.5" x14ac:dyDescent="0.2">
      <c r="A41" s="29" t="s">
        <v>109</v>
      </c>
      <c r="B41" s="30">
        <f t="shared" ref="B41:C43" si="5">B29/(B$16/100)*(B$22/100)</f>
        <v>13.939459956667418</v>
      </c>
      <c r="C41" s="30">
        <f t="shared" si="5"/>
        <v>13.939459956667418</v>
      </c>
      <c r="D41" s="30">
        <f t="shared" ref="D41" si="6">D29/(D$16/100)*(D$22/100)</f>
        <v>21.506595361715448</v>
      </c>
      <c r="E41" s="30">
        <f t="shared" si="4"/>
        <v>15.452887037677026</v>
      </c>
    </row>
    <row r="42" spans="1:7" ht="38.25" x14ac:dyDescent="0.2">
      <c r="A42" s="29" t="s">
        <v>110</v>
      </c>
      <c r="B42" s="30">
        <f t="shared" si="5"/>
        <v>-31.065082189144533</v>
      </c>
      <c r="C42" s="30">
        <f t="shared" si="5"/>
        <v>-31.065082189144533</v>
      </c>
      <c r="D42" s="30">
        <f t="shared" ref="D42" si="7">D30/(D$16/100)*(D$22/100)</f>
        <v>3.9827028447621196</v>
      </c>
      <c r="E42" s="30">
        <f t="shared" si="4"/>
        <v>-24.055525182363205</v>
      </c>
    </row>
    <row r="43" spans="1:7" ht="38.25" x14ac:dyDescent="0.2">
      <c r="A43" s="29" t="s">
        <v>111</v>
      </c>
      <c r="B43" s="30">
        <f t="shared" si="5"/>
        <v>8.3636759740004507</v>
      </c>
      <c r="C43" s="30">
        <f t="shared" si="5"/>
        <v>8.3636759740004507</v>
      </c>
      <c r="D43" s="30">
        <f t="shared" ref="D43" si="8">D31/(D$16/100)*(D$22/100)</f>
        <v>20.710054792763021</v>
      </c>
      <c r="E43" s="30">
        <f t="shared" si="4"/>
        <v>10.832951737752964</v>
      </c>
    </row>
    <row r="44" spans="1:7" ht="25.5" x14ac:dyDescent="0.2">
      <c r="A44" s="29" t="s">
        <v>112</v>
      </c>
      <c r="B44" s="30">
        <f>(B25*B41+B26*B42+B27*B43)/100</f>
        <v>7.5062000515231668</v>
      </c>
      <c r="C44" s="30">
        <f>(C25*C41+C26*C42+C27*C43)/100</f>
        <v>7.5062000515231668</v>
      </c>
      <c r="D44" s="30">
        <f>(D25*D41+D26*D42+D27*D43)/100</f>
        <v>19.067588139583126</v>
      </c>
      <c r="E44" s="30">
        <f t="shared" si="4"/>
        <v>9.8184776691351594</v>
      </c>
    </row>
    <row r="45" spans="1:7" x14ac:dyDescent="0.2">
      <c r="A45" s="42" t="s">
        <v>107</v>
      </c>
      <c r="B45" s="43"/>
      <c r="C45" s="43"/>
      <c r="D45" s="43"/>
      <c r="E45" s="43"/>
    </row>
    <row r="46" spans="1:7" x14ac:dyDescent="0.2">
      <c r="A46" s="44" t="s">
        <v>113</v>
      </c>
      <c r="B46" s="44"/>
      <c r="C46" s="44"/>
      <c r="D46" s="44"/>
      <c r="E46" s="44"/>
    </row>
    <row r="47" spans="1:7" ht="25.5" x14ac:dyDescent="0.2">
      <c r="A47" s="42" t="s">
        <v>144</v>
      </c>
      <c r="B47" s="43">
        <f>B32-B39</f>
        <v>143.38870005152316</v>
      </c>
      <c r="C47" s="43">
        <f>C32-C39</f>
        <v>143.38870005152316</v>
      </c>
      <c r="D47" s="43">
        <f>D32-D39</f>
        <v>82.377588139583125</v>
      </c>
      <c r="E47" s="43">
        <f>C47*(1-$F$12)+$F$12*D47</f>
        <v>131.18647766913514</v>
      </c>
    </row>
    <row r="48" spans="1:7" x14ac:dyDescent="0.2">
      <c r="A48" s="44" t="s">
        <v>114</v>
      </c>
      <c r="B48" s="43">
        <f>B47/B32*100</f>
        <v>78.354480902471664</v>
      </c>
      <c r="C48" s="43">
        <f>C47/C32*100</f>
        <v>78.354480902471664</v>
      </c>
      <c r="D48" s="43">
        <f>D47/D32*100</f>
        <v>45.015075486110995</v>
      </c>
      <c r="E48" s="43">
        <f t="shared" ref="E48:E50" si="9">C48*(1-$F$12)+$F$12*D48</f>
        <v>71.686599819199529</v>
      </c>
    </row>
    <row r="49" spans="1:5" ht="25.5" x14ac:dyDescent="0.2">
      <c r="A49" s="42" t="s">
        <v>145</v>
      </c>
      <c r="B49" s="43">
        <f>B33-B44</f>
        <v>72.493799948476834</v>
      </c>
      <c r="C49" s="43">
        <f>C33-C44</f>
        <v>72.493799948476834</v>
      </c>
      <c r="D49" s="43">
        <f>D33-D44</f>
        <v>60.932411860416877</v>
      </c>
      <c r="E49" s="43">
        <f t="shared" si="9"/>
        <v>70.181522330864851</v>
      </c>
    </row>
    <row r="50" spans="1:5" x14ac:dyDescent="0.2">
      <c r="A50" s="44" t="s">
        <v>114</v>
      </c>
      <c r="B50" s="43">
        <f>B49/B33*100</f>
        <v>90.61724993559605</v>
      </c>
      <c r="C50" s="43">
        <f>C49/C33*100</f>
        <v>90.61724993559605</v>
      </c>
      <c r="D50" s="43">
        <f>D49/D33*100</f>
        <v>76.1655148255211</v>
      </c>
      <c r="E50" s="43">
        <f t="shared" si="9"/>
        <v>87.726902913581071</v>
      </c>
    </row>
    <row r="51" spans="1:5" x14ac:dyDescent="0.2">
      <c r="A51" s="44"/>
      <c r="B51" s="44"/>
      <c r="C51" s="43"/>
      <c r="D51" s="43"/>
      <c r="E51" s="43"/>
    </row>
    <row r="52" spans="1:5" x14ac:dyDescent="0.2">
      <c r="A52" s="44" t="s">
        <v>115</v>
      </c>
      <c r="B52" s="44"/>
      <c r="C52" s="43"/>
      <c r="D52" s="43"/>
      <c r="E52" s="43"/>
    </row>
    <row r="53" spans="1:5" ht="25.5" x14ac:dyDescent="0.2">
      <c r="A53" s="42" t="s">
        <v>142</v>
      </c>
      <c r="B53" s="43">
        <f>B13*B47*3.6/1000</f>
        <v>16.208658653824177</v>
      </c>
      <c r="C53" s="43">
        <f>C13*C47*3.6/1000</f>
        <v>16.208658653824177</v>
      </c>
      <c r="D53" s="43">
        <f>D13*D47*3.6/1000</f>
        <v>9.3119625632984775</v>
      </c>
      <c r="E53" s="43">
        <f t="shared" ref="E53:E55" si="10">C53*(1-$F$12)+$F$12*D53</f>
        <v>14.829319435719038</v>
      </c>
    </row>
    <row r="54" spans="1:5" ht="25.5" x14ac:dyDescent="0.2">
      <c r="A54" s="42" t="s">
        <v>143</v>
      </c>
      <c r="B54" s="43">
        <f>B14*B49*3.6/1000</f>
        <v>4.3792054672875889</v>
      </c>
      <c r="C54" s="43">
        <f>C14*C49*3.6/1000</f>
        <v>4.3792054672875889</v>
      </c>
      <c r="D54" s="43">
        <f>D14*D49*3.6/1000</f>
        <v>3.680805135664063</v>
      </c>
      <c r="E54" s="43">
        <f t="shared" si="10"/>
        <v>4.2395254009628838</v>
      </c>
    </row>
    <row r="55" spans="1:5" ht="38.25" x14ac:dyDescent="0.2">
      <c r="A55" s="42" t="s">
        <v>141</v>
      </c>
      <c r="B55" s="43">
        <f>0.1</f>
        <v>0.1</v>
      </c>
      <c r="C55" s="43">
        <f>0.1</f>
        <v>0.1</v>
      </c>
      <c r="D55" s="43">
        <f>0.1</f>
        <v>0.1</v>
      </c>
      <c r="E55" s="43">
        <f t="shared" si="10"/>
        <v>0.10000000000000002</v>
      </c>
    </row>
    <row r="56" spans="1:5" x14ac:dyDescent="0.2">
      <c r="A56" s="37" t="s">
        <v>127</v>
      </c>
      <c r="B56" s="38"/>
      <c r="C56" s="38"/>
      <c r="D56" s="38"/>
      <c r="E56" s="38"/>
    </row>
    <row r="57" spans="1:5" ht="38.25" customHeight="1" x14ac:dyDescent="0.2">
      <c r="A57" s="29" t="s">
        <v>128</v>
      </c>
      <c r="B57" s="30">
        <f>B29*3.6</f>
        <v>126</v>
      </c>
      <c r="C57" s="30">
        <f>C29*3.6</f>
        <v>126</v>
      </c>
      <c r="D57" s="30">
        <f>D29*3.6</f>
        <v>194.4</v>
      </c>
      <c r="E57" s="30">
        <f t="shared" ref="E57:E61" si="11">C57*(1-$F$12)+$F$12*D57</f>
        <v>139.68</v>
      </c>
    </row>
    <row r="58" spans="1:5" ht="38.25" x14ac:dyDescent="0.2">
      <c r="A58" s="29" t="s">
        <v>129</v>
      </c>
      <c r="B58" s="30">
        <f t="shared" ref="B58:C58" si="12">B30*3.6</f>
        <v>-280.8</v>
      </c>
      <c r="C58" s="30">
        <f t="shared" si="12"/>
        <v>-280.8</v>
      </c>
      <c r="D58" s="30">
        <f t="shared" ref="D58" si="13">D30*3.6</f>
        <v>36</v>
      </c>
      <c r="E58" s="30">
        <f t="shared" si="11"/>
        <v>-217.44000000000003</v>
      </c>
    </row>
    <row r="59" spans="1:5" ht="38.25" x14ac:dyDescent="0.2">
      <c r="A59" s="29" t="s">
        <v>130</v>
      </c>
      <c r="B59" s="30">
        <f t="shared" ref="B59:C59" si="14">B31*3.6</f>
        <v>75.600000000000009</v>
      </c>
      <c r="C59" s="30">
        <f t="shared" si="14"/>
        <v>75.600000000000009</v>
      </c>
      <c r="D59" s="30">
        <f t="shared" ref="D59" si="15">D31*3.6</f>
        <v>187.20000000000002</v>
      </c>
      <c r="E59" s="30">
        <f t="shared" si="11"/>
        <v>97.920000000000016</v>
      </c>
    </row>
    <row r="60" spans="1:5" ht="25.5" x14ac:dyDescent="0.2">
      <c r="A60" s="29" t="s">
        <v>131</v>
      </c>
      <c r="B60" s="30">
        <f t="shared" ref="B60:C60" si="16">B32*3.6</f>
        <v>658.80000000000007</v>
      </c>
      <c r="C60" s="30">
        <f t="shared" si="16"/>
        <v>658.80000000000007</v>
      </c>
      <c r="D60" s="30">
        <f t="shared" ref="D60" si="17">D32*3.6</f>
        <v>658.80000000000007</v>
      </c>
      <c r="E60" s="30">
        <f t="shared" si="11"/>
        <v>658.80000000000007</v>
      </c>
    </row>
    <row r="61" spans="1:5" ht="25.5" x14ac:dyDescent="0.2">
      <c r="A61" s="29" t="s">
        <v>132</v>
      </c>
      <c r="B61" s="30">
        <f t="shared" ref="B61:C61" si="18">B33*3.6</f>
        <v>288</v>
      </c>
      <c r="C61" s="30">
        <f t="shared" si="18"/>
        <v>288</v>
      </c>
      <c r="D61" s="30">
        <f t="shared" ref="D61" si="19">D33*3.6</f>
        <v>288</v>
      </c>
      <c r="E61" s="30">
        <f t="shared" si="11"/>
        <v>288</v>
      </c>
    </row>
    <row r="62" spans="1:5" x14ac:dyDescent="0.2">
      <c r="A62" s="37" t="s">
        <v>127</v>
      </c>
      <c r="B62" s="38"/>
      <c r="C62" s="38"/>
      <c r="D62" s="38"/>
      <c r="E62" s="38"/>
    </row>
    <row r="63" spans="1:5" x14ac:dyDescent="0.2">
      <c r="A63" s="29" t="s">
        <v>99</v>
      </c>
      <c r="B63" s="30"/>
      <c r="C63" s="30"/>
      <c r="D63" s="30"/>
      <c r="E63" s="30"/>
    </row>
    <row r="64" spans="1:5" ht="25.5" x14ac:dyDescent="0.2">
      <c r="A64" s="29" t="s">
        <v>133</v>
      </c>
      <c r="B64" s="30">
        <f t="shared" ref="B64:C66" si="20">B57/(B$16/100)*(B$21/100)</f>
        <v>264.81794415599728</v>
      </c>
      <c r="C64" s="30">
        <f t="shared" si="20"/>
        <v>264.81794415599728</v>
      </c>
      <c r="D64" s="30">
        <f t="shared" ref="D64" si="21">D57/(D$16/100)*(D$21/100)</f>
        <v>408.57625669782436</v>
      </c>
      <c r="E64" s="30">
        <f t="shared" ref="E64:E72" si="22">C64*(1-$F$12)+$F$12*D64</f>
        <v>293.56960666436271</v>
      </c>
    </row>
    <row r="65" spans="1:5" ht="38.25" x14ac:dyDescent="0.2">
      <c r="A65" s="29" t="s">
        <v>134</v>
      </c>
      <c r="B65" s="30">
        <f t="shared" si="20"/>
        <v>-590.16570411907969</v>
      </c>
      <c r="C65" s="30">
        <f t="shared" si="20"/>
        <v>-590.16570411907969</v>
      </c>
      <c r="D65" s="30">
        <f t="shared" ref="D65" si="23">D58/(D$16/100)*(D$21/100)</f>
        <v>75.662269758856368</v>
      </c>
      <c r="E65" s="30">
        <f t="shared" si="22"/>
        <v>-457.00010934349251</v>
      </c>
    </row>
    <row r="66" spans="1:5" ht="38.25" x14ac:dyDescent="0.2">
      <c r="A66" s="29" t="s">
        <v>135</v>
      </c>
      <c r="B66" s="30">
        <f t="shared" si="20"/>
        <v>158.89076649359836</v>
      </c>
      <c r="C66" s="30">
        <f t="shared" si="20"/>
        <v>158.89076649359836</v>
      </c>
      <c r="D66" s="30">
        <f t="shared" ref="D66" si="24">D59/(D$16/100)*(D$21/100)</f>
        <v>393.44380274605311</v>
      </c>
      <c r="E66" s="30">
        <f t="shared" si="22"/>
        <v>205.80137374408932</v>
      </c>
    </row>
    <row r="67" spans="1:5" ht="25.5" x14ac:dyDescent="0.2">
      <c r="A67" s="29" t="s">
        <v>136</v>
      </c>
      <c r="B67" s="30">
        <f>(B25*B64+B26*B65+B27*B66)/100</f>
        <v>142.60067981451658</v>
      </c>
      <c r="C67" s="30">
        <f>(C25*C64+C26*C65+C27*C66)/100</f>
        <v>142.60067981451658</v>
      </c>
      <c r="D67" s="30">
        <f>(D25*D64+D26*D65+D27*D66)/100</f>
        <v>362.24068269750069</v>
      </c>
      <c r="E67" s="30">
        <f t="shared" si="22"/>
        <v>186.52868039111343</v>
      </c>
    </row>
    <row r="68" spans="1:5" x14ac:dyDescent="0.2">
      <c r="B68" s="30"/>
      <c r="C68" s="30"/>
      <c r="D68" s="30"/>
      <c r="E68" s="30"/>
    </row>
    <row r="69" spans="1:5" ht="25.5" x14ac:dyDescent="0.2">
      <c r="A69" s="29" t="s">
        <v>137</v>
      </c>
      <c r="B69" s="30">
        <f t="shared" ref="B69:C71" si="25">B57/(B$16/100)*(B$22/100)</f>
        <v>50.182055844002711</v>
      </c>
      <c r="C69" s="30">
        <f t="shared" si="25"/>
        <v>50.182055844002711</v>
      </c>
      <c r="D69" s="30">
        <f t="shared" ref="D69" si="26">D57/(D$16/100)*(D$22/100)</f>
        <v>77.423743302175609</v>
      </c>
      <c r="E69" s="30">
        <f t="shared" si="22"/>
        <v>55.630393335637294</v>
      </c>
    </row>
    <row r="70" spans="1:5" ht="38.25" x14ac:dyDescent="0.2">
      <c r="A70" s="29" t="s">
        <v>138</v>
      </c>
      <c r="B70" s="30">
        <f t="shared" si="25"/>
        <v>-111.83429588092032</v>
      </c>
      <c r="C70" s="30">
        <f t="shared" si="25"/>
        <v>-111.83429588092032</v>
      </c>
      <c r="D70" s="30">
        <f t="shared" ref="D70" si="27">D58/(D$16/100)*(D$22/100)</f>
        <v>14.337730241143632</v>
      </c>
      <c r="E70" s="30">
        <f t="shared" si="22"/>
        <v>-86.599890656507526</v>
      </c>
    </row>
    <row r="71" spans="1:5" ht="38.25" x14ac:dyDescent="0.2">
      <c r="A71" s="29" t="s">
        <v>139</v>
      </c>
      <c r="B71" s="30">
        <f t="shared" si="25"/>
        <v>30.109233506401626</v>
      </c>
      <c r="C71" s="30">
        <f t="shared" si="25"/>
        <v>30.109233506401626</v>
      </c>
      <c r="D71" s="30">
        <f t="shared" ref="D71" si="28">D59/(D$16/100)*(D$22/100)</f>
        <v>74.556197253946877</v>
      </c>
      <c r="E71" s="30">
        <f t="shared" si="22"/>
        <v>38.998626255910679</v>
      </c>
    </row>
    <row r="72" spans="1:5" ht="25.5" x14ac:dyDescent="0.2">
      <c r="A72" s="29" t="s">
        <v>140</v>
      </c>
      <c r="B72" s="30">
        <f>(B25*B69+B26*B70+B27*B71)/100</f>
        <v>27.022320185483405</v>
      </c>
      <c r="C72" s="30">
        <f>(C25*C69+C26*C70+C27*C71)/100</f>
        <v>27.022320185483405</v>
      </c>
      <c r="D72" s="30">
        <f>(D25*D69+D26*D70+D27*D71)/100</f>
        <v>68.643317302499241</v>
      </c>
      <c r="E72" s="30">
        <f t="shared" si="22"/>
        <v>35.346519608886574</v>
      </c>
    </row>
    <row r="73" spans="1:5" x14ac:dyDescent="0.2">
      <c r="A73" s="45" t="s">
        <v>127</v>
      </c>
      <c r="B73" s="46"/>
      <c r="C73" s="46"/>
      <c r="D73" s="46"/>
      <c r="E73" s="46"/>
    </row>
    <row r="74" spans="1:5" x14ac:dyDescent="0.2">
      <c r="A74" s="47" t="s">
        <v>113</v>
      </c>
      <c r="B74" s="47"/>
      <c r="C74" s="47"/>
      <c r="D74" s="47"/>
      <c r="E74" s="47"/>
    </row>
    <row r="75" spans="1:5" ht="25.5" x14ac:dyDescent="0.2">
      <c r="A75" s="45" t="s">
        <v>157</v>
      </c>
      <c r="B75" s="46">
        <f>B60-B67</f>
        <v>516.19932018548343</v>
      </c>
      <c r="C75" s="46">
        <f>C60-C67</f>
        <v>516.19932018548343</v>
      </c>
      <c r="D75" s="46">
        <f>D60-D67</f>
        <v>296.55931730249938</v>
      </c>
      <c r="E75" s="46">
        <f t="shared" ref="E75:E85" si="29">C75*(1-$F$12)+$F$12*D75</f>
        <v>472.27131960888664</v>
      </c>
    </row>
    <row r="76" spans="1:5" x14ac:dyDescent="0.2">
      <c r="A76" s="47" t="s">
        <v>114</v>
      </c>
      <c r="B76" s="46">
        <f>B75/B60*100</f>
        <v>78.354480902471664</v>
      </c>
      <c r="C76" s="46">
        <f>C75/C60*100</f>
        <v>78.354480902471664</v>
      </c>
      <c r="D76" s="46">
        <f>D75/D60*100</f>
        <v>45.015075486111009</v>
      </c>
      <c r="E76" s="46">
        <f t="shared" si="29"/>
        <v>71.686599819199529</v>
      </c>
    </row>
    <row r="77" spans="1:5" ht="25.5" x14ac:dyDescent="0.2">
      <c r="A77" s="45" t="s">
        <v>158</v>
      </c>
      <c r="B77" s="46">
        <f>B61-B72</f>
        <v>260.97767981451659</v>
      </c>
      <c r="C77" s="46">
        <f>C61-C72</f>
        <v>260.97767981451659</v>
      </c>
      <c r="D77" s="46">
        <f>D61-D72</f>
        <v>219.35668269750076</v>
      </c>
      <c r="E77" s="46">
        <f t="shared" si="29"/>
        <v>252.65348039111345</v>
      </c>
    </row>
    <row r="78" spans="1:5" x14ac:dyDescent="0.2">
      <c r="A78" s="47" t="s">
        <v>114</v>
      </c>
      <c r="B78" s="46">
        <f>B77/B61*100</f>
        <v>90.617249935596035</v>
      </c>
      <c r="C78" s="46">
        <f>C77/C61*100</f>
        <v>90.617249935596035</v>
      </c>
      <c r="D78" s="46">
        <f>D77/D61*100</f>
        <v>76.1655148255211</v>
      </c>
      <c r="E78" s="46">
        <f t="shared" si="29"/>
        <v>87.726902913581057</v>
      </c>
    </row>
    <row r="79" spans="1:5" x14ac:dyDescent="0.2">
      <c r="A79" s="47"/>
      <c r="B79" s="47"/>
      <c r="C79" s="46"/>
      <c r="D79" s="46"/>
      <c r="E79" s="46"/>
    </row>
    <row r="80" spans="1:5" x14ac:dyDescent="0.2">
      <c r="A80" s="47" t="s">
        <v>115</v>
      </c>
      <c r="B80" s="47"/>
      <c r="C80" s="46"/>
      <c r="D80" s="46"/>
      <c r="E80" s="46"/>
    </row>
    <row r="81" spans="1:7" ht="25.5" x14ac:dyDescent="0.2">
      <c r="A81" s="45" t="s">
        <v>142</v>
      </c>
      <c r="B81" s="46">
        <f>B13*B75/1000</f>
        <v>16.20865865382418</v>
      </c>
      <c r="C81" s="46">
        <f>C13*C75/1000</f>
        <v>16.20865865382418</v>
      </c>
      <c r="D81" s="46">
        <f>D13*D75/1000</f>
        <v>9.311962563298481</v>
      </c>
      <c r="E81" s="46">
        <f>C81*(1-$F$12)+$F$12*D81</f>
        <v>14.829319435719041</v>
      </c>
    </row>
    <row r="82" spans="1:7" ht="25.5" x14ac:dyDescent="0.2">
      <c r="A82" s="45" t="s">
        <v>143</v>
      </c>
      <c r="B82" s="46">
        <f>B14*B77/1000</f>
        <v>4.379205467287588</v>
      </c>
      <c r="C82" s="46">
        <f>C14*C77/1000</f>
        <v>4.379205467287588</v>
      </c>
      <c r="D82" s="46">
        <f>D14*D77/1000</f>
        <v>3.680805135664063</v>
      </c>
      <c r="E82" s="46">
        <f t="shared" si="29"/>
        <v>4.2395254009628829</v>
      </c>
    </row>
    <row r="83" spans="1:7" ht="38.25" x14ac:dyDescent="0.2">
      <c r="A83" s="45" t="s">
        <v>141</v>
      </c>
      <c r="B83" s="46">
        <f>B55</f>
        <v>0.1</v>
      </c>
      <c r="C83" s="46">
        <f>C55</f>
        <v>0.1</v>
      </c>
      <c r="D83" s="46">
        <f>D55</f>
        <v>0.1</v>
      </c>
      <c r="E83" s="46">
        <f t="shared" si="29"/>
        <v>0.10000000000000002</v>
      </c>
      <c r="G83" s="1" t="s">
        <v>146</v>
      </c>
    </row>
    <row r="85" spans="1:7" ht="72" x14ac:dyDescent="0.25">
      <c r="A85" s="48" t="s">
        <v>147</v>
      </c>
      <c r="B85" s="49">
        <f>B81+B82+B83</f>
        <v>20.687864121111769</v>
      </c>
      <c r="C85" s="49">
        <f>C81+C82+C83</f>
        <v>20.687864121111769</v>
      </c>
      <c r="D85" s="49">
        <f>D81+D82+D83</f>
        <v>13.092767698962543</v>
      </c>
      <c r="E85" s="49">
        <f t="shared" si="29"/>
        <v>19.168844836681924</v>
      </c>
    </row>
  </sheetData>
  <sheetProtection password="DD48" sheet="1" objects="1" scenarios="1"/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tabColor theme="4"/>
  </sheetPr>
  <dimension ref="A1:R89"/>
  <sheetViews>
    <sheetView topLeftCell="A13" zoomScale="80" zoomScaleNormal="80" workbookViewId="0">
      <selection activeCell="D20" sqref="D20"/>
    </sheetView>
  </sheetViews>
  <sheetFormatPr baseColWidth="10" defaultRowHeight="12.75" x14ac:dyDescent="0.2"/>
  <cols>
    <col min="1" max="1" width="20.875" style="1" customWidth="1"/>
    <col min="2" max="2" width="13.5" style="1" customWidth="1"/>
    <col min="3" max="4" width="15.25" style="1" bestFit="1" customWidth="1"/>
    <col min="5" max="5" width="15.25" style="1" customWidth="1"/>
    <col min="6" max="16384" width="11" style="1"/>
  </cols>
  <sheetData>
    <row r="1" spans="1:7" ht="18" x14ac:dyDescent="0.25">
      <c r="A1" s="2" t="s">
        <v>0</v>
      </c>
    </row>
    <row r="3" spans="1:7" x14ac:dyDescent="0.2">
      <c r="A3" s="1" t="s">
        <v>75</v>
      </c>
      <c r="B3" s="31"/>
    </row>
    <row r="4" spans="1:7" x14ac:dyDescent="0.2">
      <c r="A4" s="1" t="s">
        <v>1</v>
      </c>
      <c r="B4" s="1" t="s">
        <v>2</v>
      </c>
    </row>
    <row r="5" spans="1:7" x14ac:dyDescent="0.2">
      <c r="B5" s="1" t="s">
        <v>3</v>
      </c>
    </row>
    <row r="6" spans="1:7" x14ac:dyDescent="0.2">
      <c r="B6" s="1" t="s">
        <v>80</v>
      </c>
    </row>
    <row r="9" spans="1:7" x14ac:dyDescent="0.2">
      <c r="A9" s="1" t="s">
        <v>62</v>
      </c>
    </row>
    <row r="11" spans="1:7" x14ac:dyDescent="0.2">
      <c r="B11" s="1" t="s">
        <v>171</v>
      </c>
      <c r="C11" s="1" t="s">
        <v>169</v>
      </c>
      <c r="D11" s="1" t="s">
        <v>170</v>
      </c>
      <c r="E11" s="1" t="s">
        <v>177</v>
      </c>
    </row>
    <row r="12" spans="1:7" ht="25.5" x14ac:dyDescent="0.2">
      <c r="A12" s="29" t="s">
        <v>150</v>
      </c>
      <c r="B12" s="62">
        <f>'THG-Rechner Einzelanlage'!E21</f>
        <v>300000</v>
      </c>
      <c r="C12" s="50">
        <f>C16*8760</f>
        <v>3485403.4854034851</v>
      </c>
      <c r="D12" s="50">
        <f>C12</f>
        <v>3485403.4854034851</v>
      </c>
      <c r="E12" s="62">
        <f>'THG-Rechner Einzelanlage'!E21</f>
        <v>300000</v>
      </c>
    </row>
    <row r="13" spans="1:7" ht="25.5" x14ac:dyDescent="0.2">
      <c r="A13" s="29" t="s">
        <v>154</v>
      </c>
      <c r="B13" s="62">
        <f>'THG-Rechner Einzelanlage'!E23</f>
        <v>100000</v>
      </c>
      <c r="C13" s="50">
        <f>C12/C18*C21*'Einsparung Branche'!C20/100</f>
        <v>1862581.8625818628</v>
      </c>
      <c r="D13" s="50">
        <f t="shared" ref="D13:D16" si="0">C13</f>
        <v>1862581.8625818628</v>
      </c>
      <c r="E13" s="62">
        <f>'THG-Rechner Einzelanlage'!E23</f>
        <v>100000</v>
      </c>
      <c r="G13" s="1" t="s">
        <v>151</v>
      </c>
    </row>
    <row r="14" spans="1:7" x14ac:dyDescent="0.2">
      <c r="A14" s="29" t="s">
        <v>156</v>
      </c>
      <c r="B14" s="50">
        <f>B13/10</f>
        <v>10000</v>
      </c>
      <c r="C14" s="50">
        <f>C13/10</f>
        <v>186258.1862581863</v>
      </c>
      <c r="D14" s="50">
        <f t="shared" si="0"/>
        <v>186258.1862581863</v>
      </c>
      <c r="E14" s="50">
        <f>E13/10</f>
        <v>10000</v>
      </c>
    </row>
    <row r="15" spans="1:7" x14ac:dyDescent="0.2">
      <c r="A15" s="29" t="s">
        <v>152</v>
      </c>
      <c r="B15" s="30"/>
      <c r="C15" s="50">
        <v>9009</v>
      </c>
      <c r="D15" s="50">
        <f t="shared" si="0"/>
        <v>9009</v>
      </c>
      <c r="E15" s="30"/>
      <c r="G15" s="1" t="s">
        <v>149</v>
      </c>
    </row>
    <row r="16" spans="1:7" ht="30" customHeight="1" x14ac:dyDescent="0.2">
      <c r="A16" s="29" t="s">
        <v>148</v>
      </c>
      <c r="B16" s="30">
        <f>B12/8760</f>
        <v>34.246575342465754</v>
      </c>
      <c r="C16" s="30">
        <f>'Einsparung Branche'!C13/8760/'Einsparung Anlage abgeleitet'!C15*1000000000</f>
        <v>397.87711020587727</v>
      </c>
      <c r="D16" s="30">
        <f t="shared" si="0"/>
        <v>397.87711020587727</v>
      </c>
      <c r="E16" s="30">
        <f>E12/8760</f>
        <v>34.246575342465754</v>
      </c>
    </row>
    <row r="17" spans="1:18" x14ac:dyDescent="0.2">
      <c r="A17" s="32"/>
      <c r="B17" s="33"/>
      <c r="C17" s="33"/>
      <c r="D17" s="33"/>
      <c r="E17" s="33"/>
    </row>
    <row r="18" spans="1:18" ht="25.5" x14ac:dyDescent="0.2">
      <c r="A18" s="29" t="s">
        <v>69</v>
      </c>
      <c r="B18" s="60">
        <f>'THG-Rechner Einzelanlage'!E25</f>
        <v>40</v>
      </c>
      <c r="C18" s="30">
        <v>40</v>
      </c>
      <c r="D18" s="30">
        <f>C18</f>
        <v>40</v>
      </c>
      <c r="E18" s="60">
        <f>'THG-Rechner Einzelanlage'!E25</f>
        <v>40</v>
      </c>
      <c r="G18" s="1" t="s">
        <v>73</v>
      </c>
    </row>
    <row r="19" spans="1:18" ht="25.5" x14ac:dyDescent="0.2">
      <c r="A19" s="29" t="s">
        <v>70</v>
      </c>
      <c r="B19" s="60">
        <f>'THG-Rechner Einzelanlage'!E26</f>
        <v>0</v>
      </c>
      <c r="C19" s="30">
        <v>45</v>
      </c>
      <c r="D19" s="30">
        <f t="shared" ref="D19:D26" si="1">C19</f>
        <v>45</v>
      </c>
      <c r="E19" s="60">
        <f>'THG-Rechner Einzelanlage'!E26</f>
        <v>0</v>
      </c>
      <c r="G19" s="1" t="s">
        <v>73</v>
      </c>
    </row>
    <row r="20" spans="1:18" ht="25.5" x14ac:dyDescent="0.2">
      <c r="A20" s="29" t="s">
        <v>66</v>
      </c>
      <c r="B20" s="60" t="e">
        <f>'THG-Rechner Einzelanlage'!#REF!</f>
        <v>#REF!</v>
      </c>
      <c r="C20" s="30">
        <v>30</v>
      </c>
      <c r="D20" s="30">
        <f t="shared" si="1"/>
        <v>30</v>
      </c>
      <c r="E20" s="60" t="e">
        <f>'THG-Rechner Einzelanlage'!#REF!</f>
        <v>#REF!</v>
      </c>
      <c r="G20" s="1" t="s">
        <v>74</v>
      </c>
    </row>
    <row r="21" spans="1:18" ht="38.25" x14ac:dyDescent="0.2">
      <c r="A21" s="29" t="s">
        <v>77</v>
      </c>
      <c r="B21" s="30" t="e">
        <f>B19-B20/100*B19</f>
        <v>#REF!</v>
      </c>
      <c r="C21" s="30">
        <f>C19-C20/100*C19</f>
        <v>31.5</v>
      </c>
      <c r="D21" s="30">
        <f t="shared" si="1"/>
        <v>31.5</v>
      </c>
      <c r="E21" s="30" t="e">
        <f>E19-E20/100*E19</f>
        <v>#REF!</v>
      </c>
    </row>
    <row r="22" spans="1:18" ht="25.5" x14ac:dyDescent="0.2">
      <c r="A22" s="29" t="s">
        <v>78</v>
      </c>
      <c r="B22" s="30" t="e">
        <f>B13/B12*B18/B21*100</f>
        <v>#REF!</v>
      </c>
      <c r="C22" s="30">
        <f>C13/C12*C18/C21*100</f>
        <v>67.859670407441115</v>
      </c>
      <c r="D22" s="30">
        <f t="shared" si="1"/>
        <v>67.859670407441115</v>
      </c>
      <c r="E22" s="30" t="e">
        <f>E13/E12*E18/E21*100</f>
        <v>#REF!</v>
      </c>
      <c r="G22" s="1" t="s">
        <v>79</v>
      </c>
    </row>
    <row r="23" spans="1:18" s="54" customFormat="1" ht="24.75" customHeight="1" x14ac:dyDescent="0.2">
      <c r="A23" s="100" t="s">
        <v>230</v>
      </c>
      <c r="B23" s="101">
        <f>B13/(B12/B18)</f>
        <v>13.333333333333334</v>
      </c>
      <c r="C23" s="101">
        <f>C13/(C12/C18)</f>
        <v>21.375796178343954</v>
      </c>
      <c r="D23" s="101">
        <f>D13/(D12/D18)</f>
        <v>21.375796178343954</v>
      </c>
      <c r="E23" s="101">
        <f>E13/(E12/E18)</f>
        <v>13.333333333333334</v>
      </c>
    </row>
    <row r="24" spans="1:18" s="54" customFormat="1" ht="25.5" x14ac:dyDescent="0.2">
      <c r="A24" s="100" t="s">
        <v>81</v>
      </c>
      <c r="B24" s="101">
        <f>('Allokationsformel Strom &amp; Wärme'!$B$31*'Einsparung Anlage abgeleitet'!B18/100)/(('Allokationsformel Strom &amp; Wärme'!$B$31*'Einsparung Anlage abgeleitet'!B18/100)+('Allokationsformel Strom &amp; Wärme'!$B$32*B23/100))*100</f>
        <v>89.429440171704528</v>
      </c>
      <c r="C24" s="101">
        <f>('Allokationsformel Strom &amp; Wärme'!$B$31*'Einsparung Anlage abgeleitet'!C18/100)/(('Allokationsformel Strom &amp; Wärme'!$B$31*'Einsparung Anlage abgeleitet'!C18/100)+('Allokationsformel Strom &amp; Wärme'!$B$32*C23/100))*100</f>
        <v>84.069188620951522</v>
      </c>
      <c r="D24" s="101">
        <f>('Allokationsformel Strom &amp; Wärme'!$B$31*'Einsparung Anlage abgeleitet'!D18/100)/(('Allokationsformel Strom &amp; Wärme'!$B$31*'Einsparung Anlage abgeleitet'!D18/100)+('Allokationsformel Strom &amp; Wärme'!$B$32*D23/100))*100</f>
        <v>84.069188620951522</v>
      </c>
      <c r="E24" s="101">
        <f>('Allokationsformel Strom &amp; Wärme'!$B$31*'Einsparung Anlage abgeleitet'!E18/100)/(('Allokationsformel Strom &amp; Wärme'!$B$31*'Einsparung Anlage abgeleitet'!E18/100)+('Allokationsformel Strom &amp; Wärme'!$B$32*E23/100))*100</f>
        <v>89.429440171704528</v>
      </c>
      <c r="R24" s="101"/>
    </row>
    <row r="25" spans="1:18" s="104" customFormat="1" ht="25.5" x14ac:dyDescent="0.2">
      <c r="A25" s="102" t="s">
        <v>81</v>
      </c>
      <c r="B25" s="103" t="e">
        <f>('Allokationsformel Strom &amp; Wärme'!$B$31*'Einsparung Anlage abgeleitet'!B18/100)/(('Allokationsformel Strom &amp; Wärme'!$B$31*'Einsparung Anlage abgeleitet'!B18/100)+('Allokationsformel Strom &amp; Wärme'!$B$32*'Einsparung Anlage abgeleitet'!B21/100*B22/100))*100</f>
        <v>#REF!</v>
      </c>
      <c r="C25" s="103">
        <f>('Allokationsformel Strom &amp; Wärme'!$B$31*'Einsparung Anlage abgeleitet'!C18/100)/(('Allokationsformel Strom &amp; Wärme'!$B$31*'Einsparung Anlage abgeleitet'!C18/100)+('Allokationsformel Strom &amp; Wärme'!$B$32*'Einsparung Anlage abgeleitet'!C21/100*C22/100))*100</f>
        <v>84.069188620951522</v>
      </c>
      <c r="D25" s="103">
        <f t="shared" si="1"/>
        <v>84.069188620951522</v>
      </c>
      <c r="E25" s="103" t="e">
        <f>('Allokationsformel Strom &amp; Wärme'!$B$31*'Einsparung Anlage abgeleitet'!E18/100)/(('Allokationsformel Strom &amp; Wärme'!$B$31*'Einsparung Anlage abgeleitet'!E18/100)+('Allokationsformel Strom &amp; Wärme'!$B$32*'Einsparung Anlage abgeleitet'!E21/100*E22/100))*100</f>
        <v>#REF!</v>
      </c>
      <c r="G25" s="104" t="s">
        <v>231</v>
      </c>
      <c r="R25" s="103"/>
    </row>
    <row r="26" spans="1:18" ht="25.5" x14ac:dyDescent="0.2">
      <c r="A26" s="29" t="s">
        <v>84</v>
      </c>
      <c r="B26" s="30">
        <f>100-B24</f>
        <v>10.570559828295472</v>
      </c>
      <c r="C26" s="30">
        <f t="shared" ref="C26:E26" si="2">100-C24</f>
        <v>15.930811379048478</v>
      </c>
      <c r="D26" s="30">
        <f t="shared" si="2"/>
        <v>15.930811379048478</v>
      </c>
      <c r="E26" s="30">
        <f t="shared" si="2"/>
        <v>10.570559828295472</v>
      </c>
    </row>
    <row r="27" spans="1:18" x14ac:dyDescent="0.2">
      <c r="A27" s="34"/>
      <c r="B27" s="33"/>
      <c r="C27" s="33"/>
      <c r="D27" s="33"/>
      <c r="E27" s="33"/>
    </row>
    <row r="28" spans="1:18" x14ac:dyDescent="0.2">
      <c r="A28" s="29" t="s">
        <v>89</v>
      </c>
      <c r="B28" s="30"/>
      <c r="C28" s="30"/>
      <c r="D28" s="30"/>
      <c r="E28" s="30"/>
    </row>
    <row r="29" spans="1:18" x14ac:dyDescent="0.2">
      <c r="A29" s="29" t="s">
        <v>90</v>
      </c>
      <c r="B29" s="60">
        <f>'THG-Rechner Einzelanlage'!E28</f>
        <v>87</v>
      </c>
      <c r="C29" s="30">
        <v>81.5</v>
      </c>
      <c r="D29" s="30">
        <f>C29</f>
        <v>81.5</v>
      </c>
      <c r="E29" s="60">
        <f>B29</f>
        <v>87</v>
      </c>
      <c r="G29" s="1" t="s">
        <v>92</v>
      </c>
    </row>
    <row r="30" spans="1:18" x14ac:dyDescent="0.2">
      <c r="A30" s="29" t="s">
        <v>93</v>
      </c>
      <c r="B30" s="60">
        <f>'THG-Rechner Einzelanlage'!E29</f>
        <v>13</v>
      </c>
      <c r="C30" s="30">
        <v>13.7</v>
      </c>
      <c r="D30" s="30">
        <f>C30</f>
        <v>13.7</v>
      </c>
      <c r="E30" s="60">
        <f t="shared" ref="E30:E31" si="3">B30</f>
        <v>13</v>
      </c>
    </row>
    <row r="31" spans="1:18" x14ac:dyDescent="0.2">
      <c r="A31" s="29" t="s">
        <v>94</v>
      </c>
      <c r="B31" s="60">
        <f>'THG-Rechner Einzelanlage'!E30</f>
        <v>0</v>
      </c>
      <c r="C31" s="30">
        <v>4.8</v>
      </c>
      <c r="D31" s="30">
        <f>C31</f>
        <v>4.8</v>
      </c>
      <c r="E31" s="60">
        <f t="shared" si="3"/>
        <v>0</v>
      </c>
    </row>
    <row r="32" spans="1:18" x14ac:dyDescent="0.2">
      <c r="A32" s="35" t="s">
        <v>107</v>
      </c>
      <c r="B32" s="36"/>
      <c r="C32" s="36"/>
      <c r="D32" s="36"/>
      <c r="E32" s="36"/>
    </row>
    <row r="33" spans="1:7" ht="43.5" customHeight="1" x14ac:dyDescent="0.2">
      <c r="A33" s="29" t="s">
        <v>95</v>
      </c>
      <c r="B33" s="30">
        <v>35</v>
      </c>
      <c r="C33" s="30">
        <v>35</v>
      </c>
      <c r="D33" s="30">
        <f>'Einsparung Branche'!D29</f>
        <v>54</v>
      </c>
      <c r="E33" s="30">
        <f>D33</f>
        <v>54</v>
      </c>
      <c r="G33" s="1" t="s">
        <v>96</v>
      </c>
    </row>
    <row r="34" spans="1:7" ht="40.5" customHeight="1" x14ac:dyDescent="0.2">
      <c r="A34" s="29" t="s">
        <v>97</v>
      </c>
      <c r="B34" s="30">
        <v>-78</v>
      </c>
      <c r="C34" s="30">
        <v>-78</v>
      </c>
      <c r="D34" s="30">
        <f>'Einsparung Branche'!D30</f>
        <v>10</v>
      </c>
      <c r="E34" s="30">
        <f t="shared" ref="E34:E35" si="4">D34</f>
        <v>10</v>
      </c>
      <c r="G34" s="1" t="s">
        <v>96</v>
      </c>
    </row>
    <row r="35" spans="1:7" ht="42.75" customHeight="1" x14ac:dyDescent="0.2">
      <c r="A35" s="29" t="s">
        <v>98</v>
      </c>
      <c r="B35" s="30">
        <v>21</v>
      </c>
      <c r="C35" s="30">
        <v>21</v>
      </c>
      <c r="D35" s="30">
        <f>'Einsparung Branche'!D31</f>
        <v>52</v>
      </c>
      <c r="E35" s="30">
        <f t="shared" si="4"/>
        <v>52</v>
      </c>
      <c r="G35" s="1" t="s">
        <v>96</v>
      </c>
    </row>
    <row r="36" spans="1:7" ht="25.5" x14ac:dyDescent="0.2">
      <c r="A36" s="29" t="s">
        <v>103</v>
      </c>
      <c r="B36" s="30">
        <v>183</v>
      </c>
      <c r="C36" s="30">
        <v>183</v>
      </c>
      <c r="D36" s="30">
        <f>C36</f>
        <v>183</v>
      </c>
      <c r="E36" s="30">
        <v>183</v>
      </c>
      <c r="G36" s="1" t="s">
        <v>105</v>
      </c>
    </row>
    <row r="37" spans="1:7" ht="25.5" x14ac:dyDescent="0.2">
      <c r="A37" s="29" t="s">
        <v>104</v>
      </c>
      <c r="B37" s="30">
        <v>80</v>
      </c>
      <c r="C37" s="30">
        <v>80</v>
      </c>
      <c r="D37" s="30">
        <f>C37</f>
        <v>80</v>
      </c>
      <c r="E37" s="30">
        <v>80</v>
      </c>
      <c r="G37" s="1" t="s">
        <v>106</v>
      </c>
    </row>
    <row r="38" spans="1:7" x14ac:dyDescent="0.2">
      <c r="A38" s="35" t="s">
        <v>107</v>
      </c>
      <c r="B38" s="36"/>
      <c r="C38" s="36"/>
      <c r="D38" s="36"/>
      <c r="E38" s="36"/>
    </row>
    <row r="39" spans="1:7" x14ac:dyDescent="0.2">
      <c r="A39" s="29" t="s">
        <v>99</v>
      </c>
      <c r="B39" s="30"/>
      <c r="C39" s="30"/>
      <c r="D39" s="30"/>
      <c r="E39" s="30"/>
    </row>
    <row r="40" spans="1:7" ht="25.5" x14ac:dyDescent="0.2">
      <c r="A40" s="29" t="s">
        <v>100</v>
      </c>
      <c r="B40" s="30">
        <f>B33/(B$18/100)*(B$24/100)</f>
        <v>78.250760150241462</v>
      </c>
      <c r="C40" s="30">
        <f t="shared" ref="C40:E40" si="5">C33/(C$18/100)*(C$24/100)</f>
        <v>73.56054004333258</v>
      </c>
      <c r="D40" s="30">
        <f t="shared" si="5"/>
        <v>113.49340463828455</v>
      </c>
      <c r="E40" s="30">
        <f t="shared" si="5"/>
        <v>120.72974423180112</v>
      </c>
    </row>
    <row r="41" spans="1:7" ht="24.75" customHeight="1" x14ac:dyDescent="0.2">
      <c r="A41" s="29" t="s">
        <v>101</v>
      </c>
      <c r="B41" s="30">
        <f>B34/(B$18/100)*(B$24/100)</f>
        <v>-174.38740833482385</v>
      </c>
      <c r="C41" s="30">
        <f t="shared" ref="C41:E41" si="6">C34/(C$18/100)*(C$24/100)</f>
        <v>-163.93491781085547</v>
      </c>
      <c r="D41" s="30">
        <f t="shared" si="6"/>
        <v>21.01729715523788</v>
      </c>
      <c r="E41" s="30">
        <f t="shared" si="6"/>
        <v>22.357360042926132</v>
      </c>
    </row>
    <row r="42" spans="1:7" ht="38.25" x14ac:dyDescent="0.2">
      <c r="A42" s="29" t="s">
        <v>102</v>
      </c>
      <c r="B42" s="30">
        <f>B35/(B$18/100)*(B$24/100)</f>
        <v>46.950456090144883</v>
      </c>
      <c r="C42" s="30">
        <f t="shared" ref="C42:E42" si="7">C35/(C$18/100)*(C$24/100)</f>
        <v>44.136324025999549</v>
      </c>
      <c r="D42" s="30">
        <f t="shared" si="7"/>
        <v>109.28994520723697</v>
      </c>
      <c r="E42" s="30">
        <f t="shared" si="7"/>
        <v>116.2582722232159</v>
      </c>
    </row>
    <row r="43" spans="1:7" ht="25.5" x14ac:dyDescent="0.2">
      <c r="A43" s="29" t="s">
        <v>108</v>
      </c>
      <c r="B43" s="30">
        <f>(B29*B40+B30*B41+B31*B42)/100</f>
        <v>45.407798247182974</v>
      </c>
      <c r="C43" s="30">
        <f>(C29*C40+C30*C41+C31*C42)/100</f>
        <v>39.611299948476834</v>
      </c>
      <c r="D43" s="30">
        <f>(D29*D40+D30*D41+D31*D42)/100</f>
        <v>100.62241186041688</v>
      </c>
      <c r="E43" s="30">
        <f>(E29*E40+E30*E41+E31*E42)/100</f>
        <v>107.94133428724737</v>
      </c>
    </row>
    <row r="44" spans="1:7" x14ac:dyDescent="0.2">
      <c r="B44" s="30"/>
      <c r="C44" s="30"/>
      <c r="D44" s="30"/>
      <c r="E44" s="30"/>
    </row>
    <row r="45" spans="1:7" ht="25.5" x14ac:dyDescent="0.2">
      <c r="A45" s="29" t="s">
        <v>109</v>
      </c>
      <c r="B45" s="30">
        <f>B33/(B$18/100)*(B$26/100)</f>
        <v>9.2492398497585384</v>
      </c>
      <c r="C45" s="30">
        <f>C33/(C$18/100)*(C$26/100)</f>
        <v>13.939459956667418</v>
      </c>
      <c r="D45" s="30">
        <f>D33/(D$18/100)*(D$26/100)</f>
        <v>21.506595361715448</v>
      </c>
      <c r="E45" s="30">
        <f>E33/(E$18/100)*(E$26/100)</f>
        <v>14.270255768198888</v>
      </c>
    </row>
    <row r="46" spans="1:7" ht="38.25" x14ac:dyDescent="0.2">
      <c r="A46" s="29" t="s">
        <v>110</v>
      </c>
      <c r="B46" s="30">
        <f>B34/(B$18/100)*(B$26/100)</f>
        <v>-20.612591665176172</v>
      </c>
      <c r="C46" s="30">
        <f>C34/(C$18/100)*(C$26/100)</f>
        <v>-31.065082189144533</v>
      </c>
      <c r="D46" s="30">
        <f>D34/(D$18/100)*(D$26/100)</f>
        <v>3.9827028447621196</v>
      </c>
      <c r="E46" s="30">
        <f>E34/(E$18/100)*(E$26/100)</f>
        <v>2.6426399570738681</v>
      </c>
    </row>
    <row r="47" spans="1:7" ht="38.25" x14ac:dyDescent="0.2">
      <c r="A47" s="29" t="s">
        <v>111</v>
      </c>
      <c r="B47" s="30">
        <f>B35/(B$18/100)*(B$26/100)</f>
        <v>5.5495439098551236</v>
      </c>
      <c r="C47" s="30">
        <f>C35/(C$18/100)*(C$26/100)</f>
        <v>8.3636759740004507</v>
      </c>
      <c r="D47" s="30">
        <f>D35/(D$18/100)*(D$26/100)</f>
        <v>20.710054792763021</v>
      </c>
      <c r="E47" s="30">
        <f>E35/(E$18/100)*(E$26/100)</f>
        <v>13.741727776784115</v>
      </c>
    </row>
    <row r="48" spans="1:7" ht="25.5" x14ac:dyDescent="0.2">
      <c r="A48" s="29" t="s">
        <v>112</v>
      </c>
      <c r="B48" s="30">
        <f>(B29*B45+B30*B46+B31*B47)/100</f>
        <v>5.3672017528170262</v>
      </c>
      <c r="C48" s="30">
        <f>(C29*C45+C30*C46+C31*C47)/100</f>
        <v>7.5062000515231668</v>
      </c>
      <c r="D48" s="30">
        <f>(D29*D45+D30*D46+D31*D47)/100</f>
        <v>19.067588139583126</v>
      </c>
      <c r="E48" s="30">
        <f>(E29*E45+E30*E46+E31*E47)/100</f>
        <v>12.758665712752636</v>
      </c>
    </row>
    <row r="49" spans="1:5" x14ac:dyDescent="0.2">
      <c r="A49" s="42" t="s">
        <v>107</v>
      </c>
      <c r="B49" s="43"/>
      <c r="C49" s="43"/>
      <c r="D49" s="43"/>
      <c r="E49" s="43"/>
    </row>
    <row r="50" spans="1:5" x14ac:dyDescent="0.2">
      <c r="A50" s="44" t="s">
        <v>113</v>
      </c>
      <c r="B50" s="44"/>
      <c r="C50" s="44"/>
      <c r="D50" s="44"/>
      <c r="E50" s="44"/>
    </row>
    <row r="51" spans="1:5" ht="25.5" x14ac:dyDescent="0.2">
      <c r="A51" s="42" t="s">
        <v>144</v>
      </c>
      <c r="B51" s="43">
        <f>B36-B43</f>
        <v>137.59220175281703</v>
      </c>
      <c r="C51" s="43">
        <f>C36-C43</f>
        <v>143.38870005152316</v>
      </c>
      <c r="D51" s="43">
        <f>D36-D43</f>
        <v>82.377588139583125</v>
      </c>
      <c r="E51" s="43">
        <f>E36-E43</f>
        <v>75.058665712752628</v>
      </c>
    </row>
    <row r="52" spans="1:5" x14ac:dyDescent="0.2">
      <c r="A52" s="44" t="s">
        <v>114</v>
      </c>
      <c r="B52" s="43">
        <f>B51/B36*100</f>
        <v>75.18699549334265</v>
      </c>
      <c r="C52" s="43">
        <f>C51/C36*100</f>
        <v>78.354480902471664</v>
      </c>
      <c r="D52" s="43">
        <f>D51/D36*100</f>
        <v>45.015075486110995</v>
      </c>
      <c r="E52" s="43">
        <f>E51/E36*100</f>
        <v>41.015664323908538</v>
      </c>
    </row>
    <row r="53" spans="1:5" ht="25.5" x14ac:dyDescent="0.2">
      <c r="A53" s="42" t="s">
        <v>145</v>
      </c>
      <c r="B53" s="43">
        <f>B37-B48</f>
        <v>74.632798247182976</v>
      </c>
      <c r="C53" s="43">
        <f>C37-C48</f>
        <v>72.493799948476834</v>
      </c>
      <c r="D53" s="43">
        <f>D37-D48</f>
        <v>60.932411860416877</v>
      </c>
      <c r="E53" s="43">
        <f>E37-E48</f>
        <v>67.241334287247369</v>
      </c>
    </row>
    <row r="54" spans="1:5" x14ac:dyDescent="0.2">
      <c r="A54" s="44" t="s">
        <v>114</v>
      </c>
      <c r="B54" s="43">
        <f>B53/B37*100</f>
        <v>93.290997808978716</v>
      </c>
      <c r="C54" s="43">
        <f>C53/C37*100</f>
        <v>90.61724993559605</v>
      </c>
      <c r="D54" s="43">
        <f>D53/D37*100</f>
        <v>76.1655148255211</v>
      </c>
      <c r="E54" s="43">
        <f>E53/E37*100</f>
        <v>84.051667859059208</v>
      </c>
    </row>
    <row r="55" spans="1:5" x14ac:dyDescent="0.2">
      <c r="A55" s="44"/>
      <c r="B55" s="44"/>
      <c r="C55" s="43"/>
      <c r="D55" s="43"/>
      <c r="E55" s="44"/>
    </row>
    <row r="56" spans="1:5" x14ac:dyDescent="0.2">
      <c r="A56" s="44" t="s">
        <v>115</v>
      </c>
      <c r="B56" s="44"/>
      <c r="C56" s="43"/>
      <c r="D56" s="43"/>
      <c r="E56" s="44"/>
    </row>
    <row r="57" spans="1:5" ht="25.5" x14ac:dyDescent="0.2">
      <c r="A57" s="42" t="s">
        <v>162</v>
      </c>
      <c r="B57" s="51">
        <f>B12*B51*3.6/1000000</f>
        <v>148.59957789304241</v>
      </c>
      <c r="C57" s="51">
        <f>C12*C51*3.6/1000000</f>
        <v>1799.1629097373934</v>
      </c>
      <c r="D57" s="51">
        <f>D12*D51*3.6/1000000</f>
        <v>1033.628878155009</v>
      </c>
      <c r="E57" s="51">
        <f>E12*E51*3.6/1000000</f>
        <v>81.06335896977285</v>
      </c>
    </row>
    <row r="58" spans="1:5" ht="25.5" x14ac:dyDescent="0.2">
      <c r="A58" s="42" t="s">
        <v>163</v>
      </c>
      <c r="B58" s="51">
        <f>B13*B53*3.6/1000000</f>
        <v>26.867807368985872</v>
      </c>
      <c r="C58" s="51">
        <f>C13*C53*3.6/1000000</f>
        <v>486.09229296121538</v>
      </c>
      <c r="D58" s="51">
        <f>D13*D53*3.6/1000000</f>
        <v>408.5697786284897</v>
      </c>
      <c r="E58" s="51">
        <f>E13*E53*3.6/1000000</f>
        <v>24.206880343409054</v>
      </c>
    </row>
    <row r="59" spans="1:5" ht="38.25" x14ac:dyDescent="0.2">
      <c r="A59" s="42" t="s">
        <v>141</v>
      </c>
      <c r="B59" s="43"/>
      <c r="C59" s="43"/>
      <c r="D59" s="43"/>
      <c r="E59" s="43"/>
    </row>
    <row r="60" spans="1:5" x14ac:dyDescent="0.2">
      <c r="A60" s="37" t="s">
        <v>127</v>
      </c>
      <c r="B60" s="38"/>
      <c r="C60" s="38"/>
      <c r="D60" s="38"/>
      <c r="E60" s="38"/>
    </row>
    <row r="61" spans="1:5" ht="38.25" customHeight="1" x14ac:dyDescent="0.2">
      <c r="A61" s="29" t="s">
        <v>128</v>
      </c>
      <c r="B61" s="30">
        <f>B33*3.6</f>
        <v>126</v>
      </c>
      <c r="C61" s="30">
        <f>C33*3.6</f>
        <v>126</v>
      </c>
      <c r="D61" s="30">
        <f>D33*3.6</f>
        <v>194.4</v>
      </c>
      <c r="E61" s="30">
        <f>E33*3.6</f>
        <v>194.4</v>
      </c>
    </row>
    <row r="62" spans="1:5" ht="38.25" x14ac:dyDescent="0.2">
      <c r="A62" s="29" t="s">
        <v>129</v>
      </c>
      <c r="B62" s="30">
        <f t="shared" ref="B62:C65" si="8">B34*3.6</f>
        <v>-280.8</v>
      </c>
      <c r="C62" s="30">
        <f t="shared" si="8"/>
        <v>-280.8</v>
      </c>
      <c r="D62" s="30">
        <f t="shared" ref="D62:E62" si="9">D34*3.6</f>
        <v>36</v>
      </c>
      <c r="E62" s="30">
        <f t="shared" si="9"/>
        <v>36</v>
      </c>
    </row>
    <row r="63" spans="1:5" ht="38.25" x14ac:dyDescent="0.2">
      <c r="A63" s="29" t="s">
        <v>130</v>
      </c>
      <c r="B63" s="30">
        <f t="shared" si="8"/>
        <v>75.600000000000009</v>
      </c>
      <c r="C63" s="30">
        <f t="shared" si="8"/>
        <v>75.600000000000009</v>
      </c>
      <c r="D63" s="30">
        <f t="shared" ref="D63:E63" si="10">D35*3.6</f>
        <v>187.20000000000002</v>
      </c>
      <c r="E63" s="30">
        <f t="shared" si="10"/>
        <v>187.20000000000002</v>
      </c>
    </row>
    <row r="64" spans="1:5" ht="25.5" x14ac:dyDescent="0.2">
      <c r="A64" s="29" t="s">
        <v>131</v>
      </c>
      <c r="B64" s="30">
        <f t="shared" si="8"/>
        <v>658.80000000000007</v>
      </c>
      <c r="C64" s="30">
        <f t="shared" si="8"/>
        <v>658.80000000000007</v>
      </c>
      <c r="D64" s="30">
        <f t="shared" ref="D64:E64" si="11">D36*3.6</f>
        <v>658.80000000000007</v>
      </c>
      <c r="E64" s="30">
        <f t="shared" si="11"/>
        <v>658.80000000000007</v>
      </c>
    </row>
    <row r="65" spans="1:5" ht="25.5" x14ac:dyDescent="0.2">
      <c r="A65" s="29" t="s">
        <v>132</v>
      </c>
      <c r="B65" s="30">
        <f t="shared" si="8"/>
        <v>288</v>
      </c>
      <c r="C65" s="30">
        <f t="shared" si="8"/>
        <v>288</v>
      </c>
      <c r="D65" s="30">
        <f t="shared" ref="D65:E65" si="12">D37*3.6</f>
        <v>288</v>
      </c>
      <c r="E65" s="30">
        <f t="shared" si="12"/>
        <v>288</v>
      </c>
    </row>
    <row r="66" spans="1:5" x14ac:dyDescent="0.2">
      <c r="A66" s="37" t="s">
        <v>127</v>
      </c>
      <c r="B66" s="38"/>
      <c r="C66" s="38"/>
      <c r="D66" s="38"/>
      <c r="E66" s="38"/>
    </row>
    <row r="67" spans="1:5" x14ac:dyDescent="0.2">
      <c r="A67" s="29" t="s">
        <v>99</v>
      </c>
      <c r="B67" s="30"/>
      <c r="C67" s="30"/>
      <c r="D67" s="30"/>
      <c r="E67" s="30"/>
    </row>
    <row r="68" spans="1:5" ht="25.5" x14ac:dyDescent="0.2">
      <c r="A68" s="29" t="s">
        <v>133</v>
      </c>
      <c r="B68" s="30">
        <f>B61/(B$18/100)*(B$24/100)</f>
        <v>281.7027365408693</v>
      </c>
      <c r="C68" s="30">
        <f t="shared" ref="C68:E68" si="13">C61/(C$18/100)*(C$24/100)</f>
        <v>264.81794415599728</v>
      </c>
      <c r="D68" s="30">
        <f t="shared" si="13"/>
        <v>408.57625669782436</v>
      </c>
      <c r="E68" s="30">
        <f t="shared" si="13"/>
        <v>434.62707923448403</v>
      </c>
    </row>
    <row r="69" spans="1:5" ht="38.25" x14ac:dyDescent="0.2">
      <c r="A69" s="29" t="s">
        <v>134</v>
      </c>
      <c r="B69" s="30">
        <f>B62/(B$18/100)*(B$24/100)</f>
        <v>-627.79467000536579</v>
      </c>
      <c r="C69" s="30">
        <f t="shared" ref="C69:E69" si="14">C62/(C$18/100)*(C$24/100)</f>
        <v>-590.16570411907969</v>
      </c>
      <c r="D69" s="30">
        <f t="shared" si="14"/>
        <v>75.662269758856368</v>
      </c>
      <c r="E69" s="30">
        <f t="shared" si="14"/>
        <v>80.48649615453408</v>
      </c>
    </row>
    <row r="70" spans="1:5" ht="38.25" x14ac:dyDescent="0.2">
      <c r="A70" s="29" t="s">
        <v>135</v>
      </c>
      <c r="B70" s="30">
        <f>B63/(B$18/100)*(B$24/100)</f>
        <v>169.02164192452156</v>
      </c>
      <c r="C70" s="30">
        <f t="shared" ref="C70:E70" si="15">C63/(C$18/100)*(C$24/100)</f>
        <v>158.89076649359836</v>
      </c>
      <c r="D70" s="30">
        <f t="shared" si="15"/>
        <v>393.44380274605311</v>
      </c>
      <c r="E70" s="30">
        <f t="shared" si="15"/>
        <v>418.52978000357723</v>
      </c>
    </row>
    <row r="71" spans="1:5" ht="25.5" x14ac:dyDescent="0.2">
      <c r="A71" s="29" t="s">
        <v>136</v>
      </c>
      <c r="B71" s="30">
        <f>(B29*B68+B30*B69+B31*B70)/100</f>
        <v>163.46807368985873</v>
      </c>
      <c r="C71" s="30">
        <f>(C29*C68+C30*C69+C31*C70)/100</f>
        <v>142.60067981451658</v>
      </c>
      <c r="D71" s="30">
        <f>(D29*D68+D30*D69+D31*D70)/100</f>
        <v>362.24068269750069</v>
      </c>
      <c r="E71" s="30">
        <f>(E29*E68+E30*E69+E31*E70)/100</f>
        <v>388.58880343409049</v>
      </c>
    </row>
    <row r="72" spans="1:5" x14ac:dyDescent="0.2">
      <c r="B72" s="30"/>
      <c r="C72" s="30"/>
      <c r="D72" s="30"/>
      <c r="E72" s="30"/>
    </row>
    <row r="73" spans="1:5" ht="25.5" x14ac:dyDescent="0.2">
      <c r="A73" s="29" t="s">
        <v>137</v>
      </c>
      <c r="B73" s="30">
        <f>B61/(B$18/100)*(B$26/100)</f>
        <v>33.29726345913074</v>
      </c>
      <c r="C73" s="30">
        <f>C61/(C$18/100)*(C$26/100)</f>
        <v>50.182055844002711</v>
      </c>
      <c r="D73" s="30">
        <f>D61/(D$18/100)*(D$26/100)</f>
        <v>77.423743302175609</v>
      </c>
      <c r="E73" s="30">
        <f>E61/(E$18/100)*(E$26/100)</f>
        <v>51.372920765516</v>
      </c>
    </row>
    <row r="74" spans="1:5" ht="38.25" x14ac:dyDescent="0.2">
      <c r="A74" s="29" t="s">
        <v>138</v>
      </c>
      <c r="B74" s="30">
        <f>B62/(B$18/100)*(B$26/100)</f>
        <v>-74.205329994634212</v>
      </c>
      <c r="C74" s="30">
        <f>C62/(C$18/100)*(C$26/100)</f>
        <v>-111.83429588092032</v>
      </c>
      <c r="D74" s="30">
        <f>D62/(D$18/100)*(D$26/100)</f>
        <v>14.337730241143632</v>
      </c>
      <c r="E74" s="30">
        <f>E62/(E$18/100)*(E$26/100)</f>
        <v>9.5135038454659249</v>
      </c>
    </row>
    <row r="75" spans="1:5" ht="38.25" x14ac:dyDescent="0.2">
      <c r="A75" s="29" t="s">
        <v>139</v>
      </c>
      <c r="B75" s="30">
        <f>B63/(B$18/100)*(B$26/100)</f>
        <v>19.978358075478443</v>
      </c>
      <c r="C75" s="30">
        <f>C63/(C$18/100)*(C$26/100)</f>
        <v>30.109233506401626</v>
      </c>
      <c r="D75" s="30">
        <f>D63/(D$18/100)*(D$26/100)</f>
        <v>74.556197253946877</v>
      </c>
      <c r="E75" s="30">
        <f>E63/(E$18/100)*(E$26/100)</f>
        <v>49.470219996422813</v>
      </c>
    </row>
    <row r="76" spans="1:5" ht="25.5" x14ac:dyDescent="0.2">
      <c r="A76" s="29" t="s">
        <v>140</v>
      </c>
      <c r="B76" s="30">
        <f>(B29*B73+B30*B74+B31*B75)/100</f>
        <v>19.321926310141297</v>
      </c>
      <c r="C76" s="30">
        <f>(C29*C73+C30*C74+C31*C75)/100</f>
        <v>27.022320185483405</v>
      </c>
      <c r="D76" s="30">
        <f>(D29*D73+D30*D74+D31*D75)/100</f>
        <v>68.643317302499241</v>
      </c>
      <c r="E76" s="30">
        <f>(E29*E73+E30*E74+E31*E75)/100</f>
        <v>45.931196565909488</v>
      </c>
    </row>
    <row r="77" spans="1:5" x14ac:dyDescent="0.2">
      <c r="A77" s="45" t="s">
        <v>127</v>
      </c>
      <c r="B77" s="46"/>
      <c r="C77" s="46"/>
      <c r="D77" s="46"/>
      <c r="E77" s="46"/>
    </row>
    <row r="78" spans="1:5" x14ac:dyDescent="0.2">
      <c r="A78" s="47" t="s">
        <v>113</v>
      </c>
      <c r="B78" s="47"/>
      <c r="C78" s="47"/>
      <c r="D78" s="47"/>
      <c r="E78" s="47"/>
    </row>
    <row r="79" spans="1:5" ht="25.5" x14ac:dyDescent="0.2">
      <c r="A79" s="45" t="s">
        <v>157</v>
      </c>
      <c r="B79" s="46">
        <f>B64-B71</f>
        <v>495.33192631014134</v>
      </c>
      <c r="C79" s="46">
        <f>C64-C71</f>
        <v>516.19932018548343</v>
      </c>
      <c r="D79" s="46">
        <f>D64-D71</f>
        <v>296.55931730249938</v>
      </c>
      <c r="E79" s="46">
        <f>E64-E71</f>
        <v>270.21119656590957</v>
      </c>
    </row>
    <row r="80" spans="1:5" x14ac:dyDescent="0.2">
      <c r="A80" s="47" t="s">
        <v>114</v>
      </c>
      <c r="B80" s="46">
        <f>B79/B64*100</f>
        <v>75.186995493342636</v>
      </c>
      <c r="C80" s="46">
        <f>C79/C64*100</f>
        <v>78.354480902471664</v>
      </c>
      <c r="D80" s="46">
        <f>D79/D64*100</f>
        <v>45.015075486111009</v>
      </c>
      <c r="E80" s="46">
        <f>E79/E64*100</f>
        <v>41.015664323908553</v>
      </c>
    </row>
    <row r="81" spans="1:7" ht="25.5" x14ac:dyDescent="0.2">
      <c r="A81" s="45" t="s">
        <v>158</v>
      </c>
      <c r="B81" s="46">
        <f>B65-B76</f>
        <v>268.67807368985871</v>
      </c>
      <c r="C81" s="46">
        <f>C65-C76</f>
        <v>260.97767981451659</v>
      </c>
      <c r="D81" s="46">
        <f>D65-D76</f>
        <v>219.35668269750076</v>
      </c>
      <c r="E81" s="46">
        <f>E65-E76</f>
        <v>242.06880343409051</v>
      </c>
    </row>
    <row r="82" spans="1:7" x14ac:dyDescent="0.2">
      <c r="A82" s="47" t="s">
        <v>114</v>
      </c>
      <c r="B82" s="46">
        <f>B81/B65*100</f>
        <v>93.290997808978716</v>
      </c>
      <c r="C82" s="46">
        <f>C81/C65*100</f>
        <v>90.617249935596035</v>
      </c>
      <c r="D82" s="46">
        <f>D81/D65*100</f>
        <v>76.1655148255211</v>
      </c>
      <c r="E82" s="46">
        <f>E81/E65*100</f>
        <v>84.051667859059208</v>
      </c>
    </row>
    <row r="83" spans="1:7" x14ac:dyDescent="0.2">
      <c r="A83" s="47"/>
      <c r="B83" s="47"/>
      <c r="C83" s="46"/>
      <c r="D83" s="46"/>
      <c r="E83" s="47"/>
    </row>
    <row r="84" spans="1:7" x14ac:dyDescent="0.2">
      <c r="A84" s="47" t="s">
        <v>115</v>
      </c>
      <c r="B84" s="47"/>
      <c r="C84" s="46"/>
      <c r="D84" s="46"/>
      <c r="E84" s="47"/>
    </row>
    <row r="85" spans="1:7" ht="25.5" x14ac:dyDescent="0.2">
      <c r="A85" s="45" t="s">
        <v>162</v>
      </c>
      <c r="B85" s="52">
        <f>B12*B79/1000000</f>
        <v>148.59957789304241</v>
      </c>
      <c r="C85" s="52">
        <f>C12*C79/1000000</f>
        <v>1799.1629097373936</v>
      </c>
      <c r="D85" s="52">
        <f>D12*D79/1000000</f>
        <v>1033.6288781550095</v>
      </c>
      <c r="E85" s="52">
        <f>E12*E79/1000000</f>
        <v>81.063358969772878</v>
      </c>
    </row>
    <row r="86" spans="1:7" ht="25.5" x14ac:dyDescent="0.2">
      <c r="A86" s="45" t="s">
        <v>163</v>
      </c>
      <c r="B86" s="52">
        <f>B13*B81/1000000</f>
        <v>26.867807368985869</v>
      </c>
      <c r="C86" s="52">
        <f>C13*C81/1000000</f>
        <v>486.09229296121532</v>
      </c>
      <c r="D86" s="52">
        <f>D13*D81/1000000</f>
        <v>408.5697786284897</v>
      </c>
      <c r="E86" s="52">
        <f>E13*E81/1000000</f>
        <v>24.20688034340905</v>
      </c>
    </row>
    <row r="87" spans="1:7" ht="38.25" x14ac:dyDescent="0.2">
      <c r="A87" s="45" t="s">
        <v>141</v>
      </c>
      <c r="B87" s="46">
        <f>B59</f>
        <v>0</v>
      </c>
      <c r="C87" s="46">
        <f>C59</f>
        <v>0</v>
      </c>
      <c r="D87" s="46">
        <f>D59</f>
        <v>0</v>
      </c>
      <c r="E87" s="46">
        <f>E59</f>
        <v>0</v>
      </c>
      <c r="G87" s="1" t="s">
        <v>146</v>
      </c>
    </row>
    <row r="89" spans="1:7" ht="54" x14ac:dyDescent="0.25">
      <c r="A89" s="48" t="s">
        <v>164</v>
      </c>
      <c r="B89" s="53">
        <f>B85+B86+B87</f>
        <v>175.46738526202827</v>
      </c>
      <c r="C89" s="53">
        <f>C85+C86+C87</f>
        <v>2285.2552026986091</v>
      </c>
      <c r="D89" s="53">
        <f>D85+D86+D87</f>
        <v>1442.1986567834992</v>
      </c>
      <c r="E89" s="53">
        <f>E85+E86+E87</f>
        <v>105.27023931318193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D18"/>
  <sheetViews>
    <sheetView zoomScale="80" zoomScaleNormal="80" workbookViewId="0">
      <selection activeCell="D20" sqref="D20"/>
    </sheetView>
  </sheetViews>
  <sheetFormatPr baseColWidth="10" defaultRowHeight="14.25" x14ac:dyDescent="0.2"/>
  <cols>
    <col min="1" max="1" width="22.375" bestFit="1" customWidth="1"/>
    <col min="2" max="2" width="15.625" bestFit="1" customWidth="1"/>
  </cols>
  <sheetData>
    <row r="1" spans="1:4" x14ac:dyDescent="0.2">
      <c r="A1" t="s">
        <v>68</v>
      </c>
      <c r="B1">
        <f>'Einsparung Branche'!B17</f>
        <v>45</v>
      </c>
      <c r="C1" t="s">
        <v>59</v>
      </c>
    </row>
    <row r="2" spans="1:4" x14ac:dyDescent="0.2">
      <c r="A2" t="s">
        <v>67</v>
      </c>
      <c r="B2">
        <v>25</v>
      </c>
      <c r="C2" t="s">
        <v>59</v>
      </c>
      <c r="D2" t="s">
        <v>71</v>
      </c>
    </row>
    <row r="3" spans="1:4" x14ac:dyDescent="0.2">
      <c r="A3" t="s">
        <v>72</v>
      </c>
      <c r="B3">
        <f>B2/100*B1</f>
        <v>11.25</v>
      </c>
      <c r="C3" t="s">
        <v>59</v>
      </c>
    </row>
    <row r="5" spans="1:4" x14ac:dyDescent="0.2">
      <c r="A5" t="s">
        <v>116</v>
      </c>
    </row>
    <row r="7" spans="1:4" x14ac:dyDescent="0.2">
      <c r="A7" t="s">
        <v>63</v>
      </c>
      <c r="B7" s="39">
        <f>'Einsparung Branche'!B13</f>
        <v>31.4</v>
      </c>
      <c r="C7" t="s">
        <v>117</v>
      </c>
    </row>
    <row r="8" spans="1:4" x14ac:dyDescent="0.2">
      <c r="B8" s="40">
        <f>B7*1000000000</f>
        <v>31400000000</v>
      </c>
      <c r="C8" t="s">
        <v>118</v>
      </c>
      <c r="D8" t="s">
        <v>120</v>
      </c>
    </row>
    <row r="9" spans="1:4" x14ac:dyDescent="0.2">
      <c r="B9" s="40">
        <f>B8*3.6</f>
        <v>113040000000</v>
      </c>
      <c r="C9" t="s">
        <v>119</v>
      </c>
      <c r="D9" t="s">
        <v>121</v>
      </c>
    </row>
    <row r="10" spans="1:4" x14ac:dyDescent="0.2">
      <c r="A10" t="s">
        <v>122</v>
      </c>
      <c r="B10">
        <f>B9*'Einsparung Branche'!C47</f>
        <v>16208658653824.178</v>
      </c>
      <c r="C10" t="s">
        <v>123</v>
      </c>
    </row>
    <row r="11" spans="1:4" x14ac:dyDescent="0.2">
      <c r="B11" s="40">
        <f>B10/1000000</f>
        <v>16208658.653824179</v>
      </c>
      <c r="C11" t="s">
        <v>125</v>
      </c>
      <c r="D11" t="s">
        <v>124</v>
      </c>
    </row>
    <row r="12" spans="1:4" x14ac:dyDescent="0.2">
      <c r="B12" s="41">
        <f>B11/1000000</f>
        <v>16.208658653824177</v>
      </c>
      <c r="C12" t="s">
        <v>126</v>
      </c>
      <c r="D12" t="s">
        <v>124</v>
      </c>
    </row>
    <row r="15" spans="1:4" x14ac:dyDescent="0.2">
      <c r="A15" t="s">
        <v>159</v>
      </c>
      <c r="B15" s="39">
        <f>'Einsparung Anlage abgeleitet'!C79</f>
        <v>516.19932018548343</v>
      </c>
      <c r="C15" t="s">
        <v>160</v>
      </c>
    </row>
    <row r="16" spans="1:4" x14ac:dyDescent="0.2">
      <c r="B16" s="40">
        <f>'Einsparung Anlage abgeleitet'!C12</f>
        <v>3485403.4854034851</v>
      </c>
      <c r="C16" t="s">
        <v>118</v>
      </c>
    </row>
    <row r="17" spans="2:4" x14ac:dyDescent="0.2">
      <c r="B17" s="40">
        <f>B15*B16</f>
        <v>1799162909.7373936</v>
      </c>
      <c r="C17" t="s">
        <v>161</v>
      </c>
    </row>
    <row r="18" spans="2:4" x14ac:dyDescent="0.2">
      <c r="B18" s="40">
        <f>B17/1000000</f>
        <v>1799.1629097373936</v>
      </c>
      <c r="D18" t="s">
        <v>124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K34"/>
  <sheetViews>
    <sheetView zoomScale="80" zoomScaleNormal="80" workbookViewId="0">
      <selection activeCell="D20" sqref="D20"/>
    </sheetView>
  </sheetViews>
  <sheetFormatPr baseColWidth="10" defaultRowHeight="14.25" x14ac:dyDescent="0.2"/>
  <sheetData>
    <row r="1" spans="1:11" x14ac:dyDescent="0.2">
      <c r="A1" t="s">
        <v>88</v>
      </c>
      <c r="K1" t="s">
        <v>91</v>
      </c>
    </row>
    <row r="2" spans="1:11" ht="409.5" customHeight="1" x14ac:dyDescent="0.2"/>
    <row r="3" spans="1:11" x14ac:dyDescent="0.2">
      <c r="A3" t="s">
        <v>85</v>
      </c>
    </row>
    <row r="34" spans="1:2" x14ac:dyDescent="0.2">
      <c r="A34" t="s">
        <v>86</v>
      </c>
      <c r="B34" t="s">
        <v>87</v>
      </c>
    </row>
  </sheetData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28"/>
  <sheetViews>
    <sheetView zoomScale="80" zoomScaleNormal="80" workbookViewId="0">
      <selection activeCell="D20" sqref="D20"/>
    </sheetView>
  </sheetViews>
  <sheetFormatPr baseColWidth="10" defaultRowHeight="14.25" x14ac:dyDescent="0.2"/>
  <cols>
    <col min="1" max="1" width="21.875" bestFit="1" customWidth="1"/>
  </cols>
  <sheetData>
    <row r="1" spans="1:22" ht="7.5" customHeight="1" x14ac:dyDescent="0.2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</row>
    <row r="2" spans="1:22" x14ac:dyDescent="0.2">
      <c r="A2" s="90" t="s">
        <v>212</v>
      </c>
      <c r="B2" s="91">
        <v>0</v>
      </c>
      <c r="C2" s="91">
        <v>5</v>
      </c>
      <c r="D2" s="91">
        <v>10</v>
      </c>
      <c r="E2" s="91">
        <v>15</v>
      </c>
      <c r="F2" s="91">
        <v>20</v>
      </c>
      <c r="G2" s="91">
        <v>25</v>
      </c>
      <c r="H2" s="91">
        <v>30</v>
      </c>
      <c r="I2" s="91">
        <v>35</v>
      </c>
      <c r="J2" s="91">
        <v>40</v>
      </c>
      <c r="K2" s="91">
        <v>45</v>
      </c>
      <c r="L2" s="91">
        <v>50</v>
      </c>
      <c r="M2" s="91">
        <v>55</v>
      </c>
      <c r="N2" s="91">
        <v>60</v>
      </c>
      <c r="O2" s="91">
        <v>65</v>
      </c>
      <c r="P2" s="91">
        <v>70</v>
      </c>
      <c r="Q2" s="91">
        <v>75</v>
      </c>
      <c r="R2" s="91">
        <v>80</v>
      </c>
      <c r="S2" s="91">
        <v>85</v>
      </c>
      <c r="T2" s="91">
        <v>90</v>
      </c>
      <c r="U2" s="91">
        <v>95</v>
      </c>
      <c r="V2" s="91">
        <v>100</v>
      </c>
    </row>
    <row r="3" spans="1:22" x14ac:dyDescent="0.2">
      <c r="A3" s="90" t="s">
        <v>211</v>
      </c>
      <c r="B3" s="91">
        <v>100</v>
      </c>
      <c r="C3" s="91">
        <v>95</v>
      </c>
      <c r="D3" s="91">
        <v>90</v>
      </c>
      <c r="E3" s="91">
        <v>85</v>
      </c>
      <c r="F3" s="91">
        <v>80</v>
      </c>
      <c r="G3" s="91">
        <v>75</v>
      </c>
      <c r="H3" s="91">
        <v>70</v>
      </c>
      <c r="I3" s="91">
        <v>65</v>
      </c>
      <c r="J3" s="91">
        <v>60</v>
      </c>
      <c r="K3" s="91">
        <v>55</v>
      </c>
      <c r="L3" s="91">
        <v>50</v>
      </c>
      <c r="M3" s="91">
        <v>45</v>
      </c>
      <c r="N3" s="91">
        <v>40</v>
      </c>
      <c r="O3" s="91">
        <v>35</v>
      </c>
      <c r="P3" s="91">
        <v>30</v>
      </c>
      <c r="Q3" s="91">
        <v>25</v>
      </c>
      <c r="R3" s="91">
        <v>20</v>
      </c>
      <c r="S3" s="91">
        <v>15</v>
      </c>
      <c r="T3" s="91">
        <v>10</v>
      </c>
      <c r="U3" s="91">
        <v>5</v>
      </c>
      <c r="V3" s="91">
        <v>0</v>
      </c>
    </row>
    <row r="4" spans="1:22" ht="7.5" customHeight="1" x14ac:dyDescent="0.2">
      <c r="A4" s="90"/>
      <c r="B4" s="90"/>
      <c r="C4" s="90"/>
      <c r="D4" s="89"/>
      <c r="E4" s="89"/>
      <c r="F4" s="89"/>
      <c r="G4" s="89"/>
      <c r="H4" s="89"/>
      <c r="I4" s="90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</row>
    <row r="5" spans="1:22" x14ac:dyDescent="0.2">
      <c r="A5" s="90" t="s">
        <v>217</v>
      </c>
      <c r="B5" s="92">
        <f>B27</f>
        <v>0</v>
      </c>
      <c r="C5" s="92">
        <f>C27</f>
        <v>15.688479124503409</v>
      </c>
      <c r="D5" s="92">
        <f t="shared" ref="D5:L5" si="0">D27</f>
        <v>28.203746125859048</v>
      </c>
      <c r="E5" s="92">
        <f t="shared" si="0"/>
        <v>38.420118705256066</v>
      </c>
      <c r="F5" s="92">
        <f t="shared" si="0"/>
        <v>46.917731450347453</v>
      </c>
      <c r="G5" s="92">
        <f t="shared" si="0"/>
        <v>54.096665805117603</v>
      </c>
      <c r="H5" s="92">
        <f t="shared" si="0"/>
        <v>60.241773002014767</v>
      </c>
      <c r="I5" s="92">
        <f t="shared" si="0"/>
        <v>65.561372891215825</v>
      </c>
      <c r="J5" s="92">
        <f t="shared" si="0"/>
        <v>70.21133847702113</v>
      </c>
      <c r="K5" s="92">
        <f t="shared" si="0"/>
        <v>74.310623693242334</v>
      </c>
      <c r="L5" s="92">
        <f t="shared" si="0"/>
        <v>77.951582867783983</v>
      </c>
      <c r="M5" s="92">
        <f t="shared" ref="M5:V5" si="1">M27</f>
        <v>81.20701209833868</v>
      </c>
      <c r="N5" s="92">
        <f t="shared" si="1"/>
        <v>84.135066327214261</v>
      </c>
      <c r="O5" s="92">
        <f t="shared" si="1"/>
        <v>86.782764009823623</v>
      </c>
      <c r="P5" s="92">
        <f t="shared" si="1"/>
        <v>89.188531076885596</v>
      </c>
      <c r="Q5" s="92">
        <f t="shared" si="1"/>
        <v>91.384078009023412</v>
      </c>
      <c r="R5" s="92">
        <f t="shared" si="1"/>
        <v>93.395805443998213</v>
      </c>
      <c r="S5" s="92">
        <f t="shared" si="1"/>
        <v>95.245870921112513</v>
      </c>
      <c r="T5" s="92">
        <f t="shared" si="1"/>
        <v>96.953008389520818</v>
      </c>
      <c r="U5" s="92">
        <f t="shared" si="1"/>
        <v>98.533164845511536</v>
      </c>
      <c r="V5" s="92">
        <f t="shared" si="1"/>
        <v>100</v>
      </c>
    </row>
    <row r="6" spans="1:22" x14ac:dyDescent="0.2">
      <c r="A6" s="90" t="s">
        <v>210</v>
      </c>
      <c r="B6" s="92">
        <f>B28</f>
        <v>100</v>
      </c>
      <c r="C6" s="92">
        <f>C28</f>
        <v>84.311520875496598</v>
      </c>
      <c r="D6" s="92">
        <f t="shared" ref="D6:L6" si="2">D28</f>
        <v>71.796253874140945</v>
      </c>
      <c r="E6" s="92">
        <f t="shared" si="2"/>
        <v>61.579881294743934</v>
      </c>
      <c r="F6" s="92">
        <f t="shared" si="2"/>
        <v>53.082268549652547</v>
      </c>
      <c r="G6" s="92">
        <f t="shared" si="2"/>
        <v>45.903334194882397</v>
      </c>
      <c r="H6" s="92">
        <f t="shared" si="2"/>
        <v>39.758226997985226</v>
      </c>
      <c r="I6" s="92">
        <f t="shared" si="2"/>
        <v>34.438627108784175</v>
      </c>
      <c r="J6" s="92">
        <f t="shared" si="2"/>
        <v>29.788661522978867</v>
      </c>
      <c r="K6" s="92">
        <f t="shared" si="2"/>
        <v>25.689376306757662</v>
      </c>
      <c r="L6" s="92">
        <f t="shared" si="2"/>
        <v>22.048417132216013</v>
      </c>
      <c r="M6" s="92">
        <f t="shared" ref="M6:V6" si="3">M28</f>
        <v>18.79298790166132</v>
      </c>
      <c r="N6" s="92">
        <f t="shared" si="3"/>
        <v>15.864933672785744</v>
      </c>
      <c r="O6" s="92">
        <f t="shared" si="3"/>
        <v>13.217235990176379</v>
      </c>
      <c r="P6" s="92">
        <f t="shared" si="3"/>
        <v>10.811468923114385</v>
      </c>
      <c r="Q6" s="92">
        <f t="shared" si="3"/>
        <v>8.6159219909765685</v>
      </c>
      <c r="R6" s="92">
        <f t="shared" si="3"/>
        <v>6.6041945560017838</v>
      </c>
      <c r="S6" s="92">
        <f t="shared" si="3"/>
        <v>4.754129078887491</v>
      </c>
      <c r="T6" s="92">
        <f t="shared" si="3"/>
        <v>3.0469916104791808</v>
      </c>
      <c r="U6" s="92">
        <f t="shared" si="3"/>
        <v>1.4668351544884659</v>
      </c>
      <c r="V6" s="92">
        <f t="shared" si="3"/>
        <v>0</v>
      </c>
    </row>
    <row r="7" spans="1:22" ht="7.5" customHeight="1" x14ac:dyDescent="0.2">
      <c r="A7" s="93"/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89"/>
      <c r="N7" s="89"/>
      <c r="O7" s="89"/>
      <c r="P7" s="89"/>
      <c r="Q7" s="89"/>
      <c r="R7" s="89"/>
      <c r="S7" s="89"/>
      <c r="T7" s="89"/>
      <c r="U7" s="89"/>
      <c r="V7" s="89"/>
    </row>
    <row r="8" spans="1:22" x14ac:dyDescent="0.2">
      <c r="A8" s="90" t="s">
        <v>212</v>
      </c>
      <c r="B8" s="91"/>
      <c r="C8" s="91">
        <f t="shared" ref="C8:L8" si="4">M2</f>
        <v>55</v>
      </c>
      <c r="D8" s="91">
        <f t="shared" si="4"/>
        <v>60</v>
      </c>
      <c r="E8" s="91">
        <f t="shared" si="4"/>
        <v>65</v>
      </c>
      <c r="F8" s="91">
        <f t="shared" si="4"/>
        <v>70</v>
      </c>
      <c r="G8" s="91">
        <f t="shared" si="4"/>
        <v>75</v>
      </c>
      <c r="H8" s="91">
        <f t="shared" si="4"/>
        <v>80</v>
      </c>
      <c r="I8" s="91">
        <f t="shared" si="4"/>
        <v>85</v>
      </c>
      <c r="J8" s="91">
        <f t="shared" si="4"/>
        <v>90</v>
      </c>
      <c r="K8" s="91">
        <f t="shared" si="4"/>
        <v>95</v>
      </c>
      <c r="L8" s="91">
        <f t="shared" si="4"/>
        <v>100</v>
      </c>
      <c r="M8" s="88"/>
    </row>
    <row r="9" spans="1:22" x14ac:dyDescent="0.2">
      <c r="A9" s="90" t="s">
        <v>211</v>
      </c>
      <c r="B9" s="91"/>
      <c r="C9" s="91">
        <f t="shared" ref="C9:L9" si="5">M3</f>
        <v>45</v>
      </c>
      <c r="D9" s="91">
        <f t="shared" si="5"/>
        <v>40</v>
      </c>
      <c r="E9" s="91">
        <f t="shared" si="5"/>
        <v>35</v>
      </c>
      <c r="F9" s="91">
        <f t="shared" si="5"/>
        <v>30</v>
      </c>
      <c r="G9" s="91">
        <f t="shared" si="5"/>
        <v>25</v>
      </c>
      <c r="H9" s="91">
        <f t="shared" si="5"/>
        <v>20</v>
      </c>
      <c r="I9" s="91">
        <f t="shared" si="5"/>
        <v>15</v>
      </c>
      <c r="J9" s="91">
        <f t="shared" si="5"/>
        <v>10</v>
      </c>
      <c r="K9" s="91">
        <f t="shared" si="5"/>
        <v>5</v>
      </c>
      <c r="L9" s="91">
        <f t="shared" si="5"/>
        <v>0</v>
      </c>
      <c r="M9" s="88"/>
    </row>
    <row r="10" spans="1:22" x14ac:dyDescent="0.2">
      <c r="A10" s="90"/>
      <c r="B10" s="90"/>
      <c r="C10" s="90"/>
      <c r="D10" s="89"/>
      <c r="E10" s="89"/>
      <c r="F10" s="89"/>
      <c r="G10" s="89"/>
      <c r="H10" s="89"/>
      <c r="I10" s="90"/>
      <c r="J10" s="89"/>
      <c r="K10" s="89"/>
      <c r="L10" s="89"/>
      <c r="M10" s="88"/>
    </row>
    <row r="11" spans="1:22" x14ac:dyDescent="0.2">
      <c r="A11" s="90" t="s">
        <v>217</v>
      </c>
      <c r="B11" s="92"/>
      <c r="C11" s="92">
        <f t="shared" ref="C11:L11" si="6">M5</f>
        <v>81.20701209833868</v>
      </c>
      <c r="D11" s="92">
        <f t="shared" si="6"/>
        <v>84.135066327214261</v>
      </c>
      <c r="E11" s="92">
        <f t="shared" si="6"/>
        <v>86.782764009823623</v>
      </c>
      <c r="F11" s="92">
        <f t="shared" si="6"/>
        <v>89.188531076885596</v>
      </c>
      <c r="G11" s="92">
        <f t="shared" si="6"/>
        <v>91.384078009023412</v>
      </c>
      <c r="H11" s="92">
        <f t="shared" si="6"/>
        <v>93.395805443998213</v>
      </c>
      <c r="I11" s="92">
        <f t="shared" si="6"/>
        <v>95.245870921112513</v>
      </c>
      <c r="J11" s="92">
        <f t="shared" si="6"/>
        <v>96.953008389520818</v>
      </c>
      <c r="K11" s="92">
        <f t="shared" si="6"/>
        <v>98.533164845511536</v>
      </c>
      <c r="L11" s="92">
        <f t="shared" si="6"/>
        <v>100</v>
      </c>
      <c r="M11" s="88"/>
    </row>
    <row r="12" spans="1:22" x14ac:dyDescent="0.2">
      <c r="A12" s="90" t="s">
        <v>210</v>
      </c>
      <c r="B12" s="92"/>
      <c r="C12" s="92">
        <f t="shared" ref="C12:L12" si="7">M6</f>
        <v>18.79298790166132</v>
      </c>
      <c r="D12" s="92">
        <f t="shared" si="7"/>
        <v>15.864933672785744</v>
      </c>
      <c r="E12" s="92">
        <f t="shared" si="7"/>
        <v>13.217235990176379</v>
      </c>
      <c r="F12" s="92">
        <f t="shared" si="7"/>
        <v>10.811468923114385</v>
      </c>
      <c r="G12" s="92">
        <f t="shared" si="7"/>
        <v>8.6159219909765685</v>
      </c>
      <c r="H12" s="92">
        <f t="shared" si="7"/>
        <v>6.6041945560017838</v>
      </c>
      <c r="I12" s="92">
        <f t="shared" si="7"/>
        <v>4.754129078887491</v>
      </c>
      <c r="J12" s="92">
        <f t="shared" si="7"/>
        <v>3.0469916104791808</v>
      </c>
      <c r="K12" s="92">
        <f t="shared" si="7"/>
        <v>1.4668351544884659</v>
      </c>
      <c r="L12" s="92">
        <f t="shared" si="7"/>
        <v>0</v>
      </c>
      <c r="M12" s="88"/>
    </row>
    <row r="13" spans="1:22" ht="7.5" customHeight="1" x14ac:dyDescent="0.2">
      <c r="A13" s="90"/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88"/>
    </row>
    <row r="14" spans="1:22" x14ac:dyDescent="0.2">
      <c r="A14" s="88"/>
      <c r="B14" s="88"/>
      <c r="C14" s="88"/>
      <c r="D14" s="88"/>
      <c r="E14" s="88"/>
      <c r="F14" s="88"/>
      <c r="G14" s="88"/>
      <c r="H14" s="88"/>
    </row>
    <row r="18" spans="1:22" x14ac:dyDescent="0.2">
      <c r="A18" t="s">
        <v>213</v>
      </c>
      <c r="B18">
        <f>106*0.7+100*0.15+103*0.15</f>
        <v>104.64999999999999</v>
      </c>
      <c r="E18" t="s">
        <v>216</v>
      </c>
    </row>
    <row r="19" spans="1:22" x14ac:dyDescent="0.2">
      <c r="A19" t="s">
        <v>214</v>
      </c>
      <c r="B19">
        <f>17*0.6+12*0.15+53*0.1+82*0.15</f>
        <v>29.6</v>
      </c>
      <c r="E19" t="s">
        <v>215</v>
      </c>
    </row>
    <row r="23" spans="1:22" x14ac:dyDescent="0.2">
      <c r="B23">
        <f t="shared" ref="B23:V23" si="8">B2*$B$18</f>
        <v>0</v>
      </c>
      <c r="C23">
        <f t="shared" si="8"/>
        <v>523.25</v>
      </c>
      <c r="D23">
        <f t="shared" si="8"/>
        <v>1046.5</v>
      </c>
      <c r="E23">
        <f t="shared" si="8"/>
        <v>1569.7499999999998</v>
      </c>
      <c r="F23">
        <f t="shared" si="8"/>
        <v>2093</v>
      </c>
      <c r="G23">
        <f t="shared" si="8"/>
        <v>2616.25</v>
      </c>
      <c r="H23">
        <f t="shared" si="8"/>
        <v>3139.4999999999995</v>
      </c>
      <c r="I23">
        <f t="shared" si="8"/>
        <v>3662.7499999999995</v>
      </c>
      <c r="J23">
        <f t="shared" si="8"/>
        <v>4186</v>
      </c>
      <c r="K23">
        <f t="shared" si="8"/>
        <v>4709.25</v>
      </c>
      <c r="L23">
        <f t="shared" si="8"/>
        <v>5232.5</v>
      </c>
      <c r="M23">
        <f t="shared" si="8"/>
        <v>5755.7499999999991</v>
      </c>
      <c r="N23">
        <f t="shared" si="8"/>
        <v>6278.9999999999991</v>
      </c>
      <c r="O23">
        <f t="shared" si="8"/>
        <v>6802.2499999999991</v>
      </c>
      <c r="P23">
        <f t="shared" si="8"/>
        <v>7325.4999999999991</v>
      </c>
      <c r="Q23">
        <f t="shared" si="8"/>
        <v>7848.7499999999991</v>
      </c>
      <c r="R23">
        <f t="shared" si="8"/>
        <v>8372</v>
      </c>
      <c r="S23">
        <f t="shared" si="8"/>
        <v>8895.25</v>
      </c>
      <c r="T23">
        <f t="shared" si="8"/>
        <v>9418.5</v>
      </c>
      <c r="U23">
        <f t="shared" si="8"/>
        <v>9941.75</v>
      </c>
      <c r="V23">
        <f t="shared" si="8"/>
        <v>10465</v>
      </c>
    </row>
    <row r="24" spans="1:22" x14ac:dyDescent="0.2">
      <c r="B24">
        <f t="shared" ref="B24:V24" si="9">B3*$B$19</f>
        <v>2960</v>
      </c>
      <c r="C24">
        <f t="shared" si="9"/>
        <v>2812</v>
      </c>
      <c r="D24">
        <f t="shared" si="9"/>
        <v>2664</v>
      </c>
      <c r="E24">
        <f t="shared" si="9"/>
        <v>2516</v>
      </c>
      <c r="F24">
        <f t="shared" si="9"/>
        <v>2368</v>
      </c>
      <c r="G24">
        <f t="shared" si="9"/>
        <v>2220</v>
      </c>
      <c r="H24">
        <f t="shared" si="9"/>
        <v>2072</v>
      </c>
      <c r="I24">
        <f t="shared" si="9"/>
        <v>1924</v>
      </c>
      <c r="J24">
        <f t="shared" si="9"/>
        <v>1776</v>
      </c>
      <c r="K24">
        <f t="shared" si="9"/>
        <v>1628</v>
      </c>
      <c r="L24">
        <f t="shared" si="9"/>
        <v>1480</v>
      </c>
      <c r="M24">
        <f t="shared" si="9"/>
        <v>1332</v>
      </c>
      <c r="N24">
        <f t="shared" si="9"/>
        <v>1184</v>
      </c>
      <c r="O24">
        <f t="shared" si="9"/>
        <v>1036</v>
      </c>
      <c r="P24">
        <f t="shared" si="9"/>
        <v>888</v>
      </c>
      <c r="Q24">
        <f t="shared" si="9"/>
        <v>740</v>
      </c>
      <c r="R24">
        <f t="shared" si="9"/>
        <v>592</v>
      </c>
      <c r="S24">
        <f t="shared" si="9"/>
        <v>444</v>
      </c>
      <c r="T24">
        <f t="shared" si="9"/>
        <v>296</v>
      </c>
      <c r="U24">
        <f t="shared" si="9"/>
        <v>148</v>
      </c>
      <c r="V24">
        <f t="shared" si="9"/>
        <v>0</v>
      </c>
    </row>
    <row r="27" spans="1:22" x14ac:dyDescent="0.2">
      <c r="B27">
        <f>B23/(B23+B24)*100</f>
        <v>0</v>
      </c>
      <c r="C27">
        <f t="shared" ref="C27:V27" si="10">C23/(C23+C24)*100</f>
        <v>15.688479124503409</v>
      </c>
      <c r="D27">
        <f t="shared" si="10"/>
        <v>28.203746125859048</v>
      </c>
      <c r="E27">
        <f t="shared" si="10"/>
        <v>38.420118705256066</v>
      </c>
      <c r="F27">
        <f t="shared" si="10"/>
        <v>46.917731450347453</v>
      </c>
      <c r="G27">
        <f t="shared" si="10"/>
        <v>54.096665805117603</v>
      </c>
      <c r="H27">
        <f t="shared" si="10"/>
        <v>60.241773002014767</v>
      </c>
      <c r="I27">
        <f t="shared" si="10"/>
        <v>65.561372891215825</v>
      </c>
      <c r="J27">
        <f t="shared" si="10"/>
        <v>70.21133847702113</v>
      </c>
      <c r="K27">
        <f t="shared" si="10"/>
        <v>74.310623693242334</v>
      </c>
      <c r="L27">
        <f t="shared" si="10"/>
        <v>77.951582867783983</v>
      </c>
      <c r="M27">
        <f t="shared" si="10"/>
        <v>81.20701209833868</v>
      </c>
      <c r="N27">
        <f t="shared" si="10"/>
        <v>84.135066327214261</v>
      </c>
      <c r="O27">
        <f t="shared" si="10"/>
        <v>86.782764009823623</v>
      </c>
      <c r="P27">
        <f t="shared" si="10"/>
        <v>89.188531076885596</v>
      </c>
      <c r="Q27">
        <f t="shared" si="10"/>
        <v>91.384078009023412</v>
      </c>
      <c r="R27">
        <f t="shared" si="10"/>
        <v>93.395805443998213</v>
      </c>
      <c r="S27">
        <f t="shared" si="10"/>
        <v>95.245870921112513</v>
      </c>
      <c r="T27">
        <f t="shared" si="10"/>
        <v>96.953008389520818</v>
      </c>
      <c r="U27">
        <f t="shared" si="10"/>
        <v>98.533164845511536</v>
      </c>
      <c r="V27">
        <f t="shared" si="10"/>
        <v>100</v>
      </c>
    </row>
    <row r="28" spans="1:22" x14ac:dyDescent="0.2">
      <c r="B28">
        <f>B24/(B23+B24)*100</f>
        <v>100</v>
      </c>
      <c r="C28">
        <f t="shared" ref="C28:V28" si="11">C24/(C23+C24)*100</f>
        <v>84.311520875496598</v>
      </c>
      <c r="D28">
        <f t="shared" si="11"/>
        <v>71.796253874140945</v>
      </c>
      <c r="E28">
        <f t="shared" si="11"/>
        <v>61.579881294743934</v>
      </c>
      <c r="F28">
        <f t="shared" si="11"/>
        <v>53.082268549652547</v>
      </c>
      <c r="G28">
        <f t="shared" si="11"/>
        <v>45.903334194882397</v>
      </c>
      <c r="H28">
        <f t="shared" si="11"/>
        <v>39.758226997985226</v>
      </c>
      <c r="I28">
        <f t="shared" si="11"/>
        <v>34.438627108784175</v>
      </c>
      <c r="J28">
        <f t="shared" si="11"/>
        <v>29.788661522978867</v>
      </c>
      <c r="K28">
        <f t="shared" si="11"/>
        <v>25.689376306757662</v>
      </c>
      <c r="L28">
        <f t="shared" si="11"/>
        <v>22.048417132216013</v>
      </c>
      <c r="M28">
        <f t="shared" si="11"/>
        <v>18.79298790166132</v>
      </c>
      <c r="N28">
        <f t="shared" si="11"/>
        <v>15.864933672785744</v>
      </c>
      <c r="O28">
        <f t="shared" si="11"/>
        <v>13.217235990176379</v>
      </c>
      <c r="P28">
        <f t="shared" si="11"/>
        <v>10.811468923114385</v>
      </c>
      <c r="Q28">
        <f t="shared" si="11"/>
        <v>8.6159219909765685</v>
      </c>
      <c r="R28">
        <f t="shared" si="11"/>
        <v>6.6041945560017838</v>
      </c>
      <c r="S28">
        <f t="shared" si="11"/>
        <v>4.754129078887491</v>
      </c>
      <c r="T28">
        <f t="shared" si="11"/>
        <v>3.0469916104791808</v>
      </c>
      <c r="U28">
        <f t="shared" si="11"/>
        <v>1.4668351544884659</v>
      </c>
      <c r="V28">
        <f t="shared" si="11"/>
        <v>0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6">
    <tabColor theme="5"/>
  </sheetPr>
  <dimension ref="A1:B38"/>
  <sheetViews>
    <sheetView zoomScaleNormal="100" workbookViewId="0">
      <selection activeCell="D20" sqref="D20"/>
    </sheetView>
  </sheetViews>
  <sheetFormatPr baseColWidth="10" defaultRowHeight="14.25" x14ac:dyDescent="0.2"/>
  <cols>
    <col min="1" max="1" width="20.875" customWidth="1"/>
    <col min="3" max="3" width="19.5" customWidth="1"/>
    <col min="4" max="4" width="18" customWidth="1"/>
  </cols>
  <sheetData>
    <row r="1" spans="1:1" ht="16.5" x14ac:dyDescent="0.25">
      <c r="A1" s="3" t="s">
        <v>4</v>
      </c>
    </row>
    <row r="3" spans="1:1" ht="15" x14ac:dyDescent="0.25">
      <c r="A3" s="4" t="s">
        <v>5</v>
      </c>
    </row>
    <row r="4" spans="1:1" ht="18" x14ac:dyDescent="0.35">
      <c r="A4" s="4" t="s">
        <v>82</v>
      </c>
    </row>
    <row r="6" spans="1:1" ht="15" x14ac:dyDescent="0.25">
      <c r="A6" s="4" t="s">
        <v>6</v>
      </c>
    </row>
    <row r="7" spans="1:1" ht="18" x14ac:dyDescent="0.35">
      <c r="A7" s="4" t="s">
        <v>83</v>
      </c>
    </row>
    <row r="9" spans="1:1" ht="15" x14ac:dyDescent="0.25">
      <c r="A9" s="4" t="s">
        <v>7</v>
      </c>
    </row>
    <row r="11" spans="1:1" ht="18.75" x14ac:dyDescent="0.35">
      <c r="A11" t="s">
        <v>8</v>
      </c>
    </row>
    <row r="13" spans="1:1" ht="18.75" x14ac:dyDescent="0.35">
      <c r="A13" t="s">
        <v>9</v>
      </c>
    </row>
    <row r="15" spans="1:1" ht="18.75" x14ac:dyDescent="0.35">
      <c r="A15" t="s">
        <v>10</v>
      </c>
    </row>
    <row r="17" spans="1:2" ht="18.75" x14ac:dyDescent="0.35">
      <c r="A17" t="s">
        <v>11</v>
      </c>
    </row>
    <row r="18" spans="1:2" ht="18.75" x14ac:dyDescent="0.35">
      <c r="A18" t="s">
        <v>12</v>
      </c>
    </row>
    <row r="19" spans="1:2" ht="18.75" x14ac:dyDescent="0.35">
      <c r="A19" t="s">
        <v>13</v>
      </c>
    </row>
    <row r="21" spans="1:2" ht="18.75" x14ac:dyDescent="0.35">
      <c r="A21" t="s">
        <v>14</v>
      </c>
    </row>
    <row r="23" spans="1:2" ht="15" x14ac:dyDescent="0.25">
      <c r="A23" s="4" t="s">
        <v>15</v>
      </c>
    </row>
    <row r="24" spans="1:2" ht="18.75" x14ac:dyDescent="0.35">
      <c r="A24" t="s">
        <v>16</v>
      </c>
      <c r="B24" s="5">
        <v>0.4</v>
      </c>
    </row>
    <row r="25" spans="1:2" ht="18.75" x14ac:dyDescent="0.35">
      <c r="A25" t="s">
        <v>17</v>
      </c>
      <c r="B25" s="5">
        <v>0.45</v>
      </c>
    </row>
    <row r="26" spans="1:2" ht="18.75" x14ac:dyDescent="0.35">
      <c r="A26" t="s">
        <v>18</v>
      </c>
      <c r="B26" s="5">
        <f>B25-'Calculation example for biogas '!C31</f>
        <v>0.35220000000000001</v>
      </c>
    </row>
    <row r="27" spans="1:2" x14ac:dyDescent="0.2">
      <c r="A27" t="s">
        <v>19</v>
      </c>
      <c r="B27" s="5">
        <v>0.85000000000000009</v>
      </c>
    </row>
    <row r="28" spans="1:2" x14ac:dyDescent="0.2">
      <c r="A28" t="s">
        <v>20</v>
      </c>
      <c r="B28" s="6">
        <v>183</v>
      </c>
    </row>
    <row r="29" spans="1:2" x14ac:dyDescent="0.2">
      <c r="A29" t="s">
        <v>21</v>
      </c>
      <c r="B29" s="6">
        <v>80</v>
      </c>
    </row>
    <row r="30" spans="1:2" x14ac:dyDescent="0.2">
      <c r="A30" t="s">
        <v>22</v>
      </c>
      <c r="B30" s="6">
        <v>3.6</v>
      </c>
    </row>
    <row r="31" spans="1:2" ht="18.75" x14ac:dyDescent="0.35">
      <c r="A31" t="s">
        <v>23</v>
      </c>
      <c r="B31" s="5">
        <v>1</v>
      </c>
    </row>
    <row r="32" spans="1:2" ht="18.75" x14ac:dyDescent="0.35">
      <c r="A32" t="s">
        <v>24</v>
      </c>
      <c r="B32" s="7">
        <v>0.35460000000000003</v>
      </c>
    </row>
    <row r="35" spans="1:2" ht="15" x14ac:dyDescent="0.25">
      <c r="A35" s="4" t="s">
        <v>25</v>
      </c>
    </row>
    <row r="37" spans="1:2" ht="15" x14ac:dyDescent="0.25">
      <c r="A37" s="4" t="s">
        <v>26</v>
      </c>
      <c r="B37" s="8">
        <f>(B31*B24)/((B31*B24)+(B26*B32))</f>
        <v>0.76206425832515201</v>
      </c>
    </row>
    <row r="38" spans="1:2" ht="15" x14ac:dyDescent="0.25">
      <c r="A38" s="4" t="s">
        <v>27</v>
      </c>
      <c r="B38" s="8">
        <f>(B32*B26)/((B32*B26)+(B31*B24))</f>
        <v>0.23793574167484807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7">
    <tabColor theme="6"/>
  </sheetPr>
  <dimension ref="A1:I31"/>
  <sheetViews>
    <sheetView topLeftCell="A7" workbookViewId="0">
      <selection activeCell="D20" sqref="D20"/>
    </sheetView>
  </sheetViews>
  <sheetFormatPr baseColWidth="10" defaultRowHeight="14.25" x14ac:dyDescent="0.2"/>
  <cols>
    <col min="1" max="1" width="23" customWidth="1"/>
    <col min="2" max="2" width="13.75" customWidth="1"/>
  </cols>
  <sheetData>
    <row r="1" spans="1:9" ht="16.5" x14ac:dyDescent="0.25">
      <c r="A1" s="9" t="s">
        <v>28</v>
      </c>
    </row>
    <row r="3" spans="1:9" ht="16.5" x14ac:dyDescent="0.25">
      <c r="A3" s="10" t="s">
        <v>29</v>
      </c>
      <c r="B3" s="10" t="s">
        <v>30</v>
      </c>
      <c r="C3" s="11"/>
      <c r="D3" s="11"/>
      <c r="E3" s="11"/>
      <c r="F3" s="11"/>
      <c r="G3" s="11"/>
      <c r="H3" s="11"/>
      <c r="I3" s="11"/>
    </row>
    <row r="4" spans="1:9" ht="60" x14ac:dyDescent="0.25">
      <c r="A4" s="19"/>
      <c r="B4" s="20" t="s">
        <v>31</v>
      </c>
      <c r="C4" s="21" t="s">
        <v>32</v>
      </c>
      <c r="D4" s="21" t="s">
        <v>33</v>
      </c>
      <c r="E4" s="21" t="s">
        <v>34</v>
      </c>
      <c r="F4" s="22" t="s">
        <v>35</v>
      </c>
      <c r="G4" s="22" t="s">
        <v>36</v>
      </c>
      <c r="H4" s="12" t="s">
        <v>37</v>
      </c>
      <c r="I4" s="12" t="s">
        <v>38</v>
      </c>
    </row>
    <row r="5" spans="1:9" ht="15" x14ac:dyDescent="0.25">
      <c r="A5" s="23" t="s">
        <v>39</v>
      </c>
      <c r="B5" s="24" t="s">
        <v>40</v>
      </c>
      <c r="C5" s="25">
        <v>30</v>
      </c>
      <c r="D5" s="26">
        <f>(C5/$B$27)*$B$14</f>
        <v>70.102456609733963</v>
      </c>
      <c r="E5" s="26">
        <f>((C5/$B$28)*$B$16)/$B$25</f>
        <v>24.858331113811666</v>
      </c>
      <c r="F5" s="27">
        <f>($B$21-D5)/$B$21</f>
        <v>0.61692646661347561</v>
      </c>
      <c r="G5" s="27">
        <f>($B$22-E5)/$B$22</f>
        <v>0.68927086107735414</v>
      </c>
      <c r="H5" s="13">
        <f>(C5/$B$27)</f>
        <v>82.079343365253081</v>
      </c>
      <c r="I5" s="14">
        <f>($B$21-H5)/$B$21</f>
        <v>0.55147899800408151</v>
      </c>
    </row>
    <row r="6" spans="1:9" ht="15" x14ac:dyDescent="0.25">
      <c r="A6" s="23" t="s">
        <v>41</v>
      </c>
      <c r="B6" s="24" t="s">
        <v>40</v>
      </c>
      <c r="C6" s="25">
        <v>30</v>
      </c>
      <c r="D6" s="26">
        <f>(C6/$C$18)*$C$14</f>
        <v>64.872571024977546</v>
      </c>
      <c r="E6" s="26">
        <f>((C6/$C$28)*$C$16)/$C$25</f>
        <v>23.003813685457033</v>
      </c>
      <c r="F6" s="27">
        <f>($C$21-D6)/$C$21</f>
        <v>0.64550507636624288</v>
      </c>
      <c r="G6" s="28">
        <f>($C$22-E6)/$C$22</f>
        <v>0.71245232893178712</v>
      </c>
      <c r="H6" s="13">
        <f>(C6/$C$18)</f>
        <v>75</v>
      </c>
      <c r="I6" s="14">
        <f>($C$21-H6)/$C$21</f>
        <v>0.5901639344262295</v>
      </c>
    </row>
    <row r="8" spans="1:9" ht="16.5" x14ac:dyDescent="0.25">
      <c r="A8" s="10" t="s">
        <v>42</v>
      </c>
      <c r="B8" s="10" t="s">
        <v>30</v>
      </c>
      <c r="C8" s="11"/>
      <c r="D8" s="11"/>
      <c r="E8" s="11"/>
      <c r="F8" s="11"/>
      <c r="G8" s="11"/>
      <c r="H8" s="11"/>
      <c r="I8" s="11"/>
    </row>
    <row r="9" spans="1:9" ht="60" x14ac:dyDescent="0.25">
      <c r="A9" s="19"/>
      <c r="B9" s="20" t="s">
        <v>31</v>
      </c>
      <c r="C9" s="21" t="s">
        <v>32</v>
      </c>
      <c r="D9" s="21" t="s">
        <v>33</v>
      </c>
      <c r="E9" s="21" t="s">
        <v>34</v>
      </c>
      <c r="F9" s="22" t="s">
        <v>35</v>
      </c>
      <c r="G9" s="22" t="s">
        <v>36</v>
      </c>
      <c r="H9" s="12" t="s">
        <v>37</v>
      </c>
      <c r="I9" s="12" t="s">
        <v>38</v>
      </c>
    </row>
    <row r="10" spans="1:9" ht="15" x14ac:dyDescent="0.25">
      <c r="A10" s="23" t="s">
        <v>39</v>
      </c>
      <c r="B10" s="24" t="s">
        <v>40</v>
      </c>
      <c r="C10" s="25">
        <v>30</v>
      </c>
      <c r="D10" s="26">
        <f>(C10/$B$27)*$B$15</f>
        <v>61.17578388406357</v>
      </c>
      <c r="E10" s="26">
        <f>((C10/$B$28)*$B$17)/$B$26</f>
        <v>21.692932965288943</v>
      </c>
      <c r="F10" s="27">
        <f>($B$21-D10)/$B$21</f>
        <v>0.66570609899418809</v>
      </c>
      <c r="G10" s="28">
        <f>($B$22-E10)/$B$22</f>
        <v>0.72883833793388819</v>
      </c>
      <c r="H10" s="13">
        <f>(C10/$B$27)</f>
        <v>82.079343365253081</v>
      </c>
      <c r="I10" s="14">
        <f>($B$21-H10)/$B$21</f>
        <v>0.55147899800408151</v>
      </c>
    </row>
    <row r="11" spans="1:9" ht="15" x14ac:dyDescent="0.25">
      <c r="A11" s="23" t="s">
        <v>41</v>
      </c>
      <c r="B11" s="24" t="s">
        <v>40</v>
      </c>
      <c r="C11" s="25">
        <v>30</v>
      </c>
      <c r="D11" s="26">
        <f>(C11/$C$18)*$C$15</f>
        <v>57.154819374386399</v>
      </c>
      <c r="E11" s="26">
        <f>((C11/$C$28)*$C$17)/$C$26</f>
        <v>20.267098950157415</v>
      </c>
      <c r="F11" s="27">
        <f>($C$21-D11)/$C$21</f>
        <v>0.68767858265362625</v>
      </c>
      <c r="G11" s="28">
        <f>($C$22-E11)/$C$22</f>
        <v>0.74666126312303227</v>
      </c>
      <c r="H11" s="13">
        <f>(C11/$C$18)</f>
        <v>75</v>
      </c>
      <c r="I11" s="14">
        <f>($C$21-H11)/$C$21</f>
        <v>0.5901639344262295</v>
      </c>
    </row>
    <row r="12" spans="1:9" ht="15" x14ac:dyDescent="0.25">
      <c r="A12" s="23"/>
      <c r="B12" s="24"/>
      <c r="C12" s="25"/>
      <c r="D12" s="26"/>
      <c r="E12" s="26"/>
      <c r="F12" s="27"/>
      <c r="G12" s="28"/>
      <c r="H12" s="13"/>
      <c r="I12" s="14"/>
    </row>
    <row r="13" spans="1:9" ht="15" x14ac:dyDescent="0.25">
      <c r="B13" s="15" t="s">
        <v>43</v>
      </c>
      <c r="C13" s="15" t="s">
        <v>44</v>
      </c>
    </row>
    <row r="14" spans="1:9" x14ac:dyDescent="0.2">
      <c r="A14" t="s">
        <v>45</v>
      </c>
      <c r="B14" s="16">
        <f>($B$23*$B$27)/(($B$23*$B$27)+($B$24*$B$28*$B$25))</f>
        <v>0.85408159636192549</v>
      </c>
      <c r="C14" s="16">
        <f>($C$23*$C$18)/(($C$23*$C$18)+($C$24*$C$28*$B$25))</f>
        <v>0.86496761366636721</v>
      </c>
      <c r="E14">
        <f>(C23/C18)/((C23*C18)+(C24*C28))</f>
        <v>4.7629016145321996</v>
      </c>
    </row>
    <row r="15" spans="1:9" x14ac:dyDescent="0.2">
      <c r="A15" t="s">
        <v>46</v>
      </c>
      <c r="B15" s="16">
        <f>($B$23*$B$27)/(($B$23*$B$27)+($B$24*$B$28*$B$26))</f>
        <v>0.74532496698750783</v>
      </c>
      <c r="C15" s="16">
        <f>($C$23*$C$18)/(($C$23*$C$18)+($C$24*$C$28*$C$26))</f>
        <v>0.76206425832515201</v>
      </c>
    </row>
    <row r="16" spans="1:9" x14ac:dyDescent="0.2">
      <c r="A16" t="s">
        <v>47</v>
      </c>
      <c r="B16" s="16">
        <f>($B$24*$B$28*$B$25)/(($B$24*$B$28*$B$25)+($B$23*$B$27))</f>
        <v>0.14591840363807448</v>
      </c>
      <c r="C16" s="16">
        <f>($C$24*$C$28*$C$25)/(($C$24*$C$28*$C$25)+($C$23*$C$18))</f>
        <v>0.13503238633363279</v>
      </c>
    </row>
    <row r="17" spans="1:3" x14ac:dyDescent="0.2">
      <c r="A17" t="s">
        <v>48</v>
      </c>
      <c r="B17" s="16">
        <f>($B$24*$B$28*$B$26)/(($B$24*$B$28*$B$26)+($B$23*$B$27))</f>
        <v>0.25467503301249222</v>
      </c>
      <c r="C17" s="16">
        <f>($C$24*$C$28*$C$26)/(($C$24*$C$28*$C$26)+($C$23*$C$18))</f>
        <v>0.23793574167484807</v>
      </c>
    </row>
    <row r="18" spans="1:3" ht="18.75" x14ac:dyDescent="0.35">
      <c r="A18" t="s">
        <v>49</v>
      </c>
      <c r="B18" s="5">
        <v>0.4</v>
      </c>
      <c r="C18" s="5">
        <v>0.4</v>
      </c>
    </row>
    <row r="19" spans="1:3" ht="18.75" x14ac:dyDescent="0.35">
      <c r="A19" t="s">
        <v>50</v>
      </c>
      <c r="B19" s="5">
        <v>0.45</v>
      </c>
      <c r="C19" s="5">
        <v>0.45</v>
      </c>
    </row>
    <row r="20" spans="1:3" x14ac:dyDescent="0.2">
      <c r="A20" t="s">
        <v>51</v>
      </c>
      <c r="B20" s="5">
        <f>B18+B19</f>
        <v>0.85000000000000009</v>
      </c>
      <c r="C20" s="5">
        <f>C18+C19</f>
        <v>0.85000000000000009</v>
      </c>
    </row>
    <row r="21" spans="1:3" x14ac:dyDescent="0.2">
      <c r="A21" t="s">
        <v>52</v>
      </c>
      <c r="B21" s="6">
        <v>183</v>
      </c>
      <c r="C21" s="6">
        <v>183</v>
      </c>
    </row>
    <row r="22" spans="1:3" x14ac:dyDescent="0.2">
      <c r="A22" t="s">
        <v>53</v>
      </c>
      <c r="B22" s="6">
        <v>80</v>
      </c>
      <c r="C22" s="6">
        <v>80</v>
      </c>
    </row>
    <row r="23" spans="1:3" ht="18.75" x14ac:dyDescent="0.35">
      <c r="A23" t="s">
        <v>23</v>
      </c>
      <c r="B23" s="5">
        <v>1</v>
      </c>
      <c r="C23" s="5">
        <v>1</v>
      </c>
    </row>
    <row r="24" spans="1:3" ht="18.75" x14ac:dyDescent="0.35">
      <c r="A24" t="s">
        <v>24</v>
      </c>
      <c r="B24" s="17">
        <v>0.35460000000000003</v>
      </c>
      <c r="C24" s="17">
        <v>0.35460000000000003</v>
      </c>
    </row>
    <row r="25" spans="1:3" x14ac:dyDescent="0.2">
      <c r="A25" t="s">
        <v>54</v>
      </c>
      <c r="B25" s="5">
        <v>0.5</v>
      </c>
      <c r="C25" s="5">
        <v>0.5</v>
      </c>
    </row>
    <row r="26" spans="1:3" x14ac:dyDescent="0.2">
      <c r="A26" t="s">
        <v>55</v>
      </c>
      <c r="B26" s="5">
        <v>1</v>
      </c>
      <c r="C26" s="5">
        <v>1</v>
      </c>
    </row>
    <row r="27" spans="1:3" ht="18.75" x14ac:dyDescent="0.35">
      <c r="A27" t="s">
        <v>56</v>
      </c>
      <c r="B27" s="18">
        <f>B18-C29-C30</f>
        <v>0.36549999999999999</v>
      </c>
    </row>
    <row r="28" spans="1:3" ht="18.75" x14ac:dyDescent="0.35">
      <c r="A28" t="s">
        <v>57</v>
      </c>
      <c r="B28" s="16">
        <f>$B$19-$C$31</f>
        <v>0.35220000000000001</v>
      </c>
      <c r="C28" s="16">
        <f>$B$19-$C$31</f>
        <v>0.35220000000000001</v>
      </c>
    </row>
    <row r="29" spans="1:3" x14ac:dyDescent="0.2">
      <c r="A29" t="s">
        <v>58</v>
      </c>
      <c r="B29" s="6" t="s">
        <v>59</v>
      </c>
      <c r="C29" s="18">
        <v>2.4500000000000001E-2</v>
      </c>
    </row>
    <row r="30" spans="1:3" x14ac:dyDescent="0.2">
      <c r="A30" t="s">
        <v>60</v>
      </c>
      <c r="B30" s="6" t="s">
        <v>59</v>
      </c>
      <c r="C30" s="5">
        <v>0.01</v>
      </c>
    </row>
    <row r="31" spans="1:3" x14ac:dyDescent="0.2">
      <c r="A31" t="s">
        <v>61</v>
      </c>
      <c r="B31" s="6" t="s">
        <v>59</v>
      </c>
      <c r="C31" s="18">
        <v>9.7799999999999998E-2</v>
      </c>
    </row>
  </sheetData>
  <pageMargins left="0.7" right="0.7" top="0.78740157499999996" bottom="0.78740157499999996" header="0.3" footer="0.3"/>
  <pageSetup paperSize="9" orientation="portrait" verticalDpi="0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DA61EC0C6EF48409FBA051BB962B3E7" ma:contentTypeVersion="12" ma:contentTypeDescription="Ein neues Dokument erstellen." ma:contentTypeScope="" ma:versionID="45d41b39ca78aaee9a19c2ba5e0764cf">
  <xsd:schema xmlns:xsd="http://www.w3.org/2001/XMLSchema" xmlns:xs="http://www.w3.org/2001/XMLSchema" xmlns:p="http://schemas.microsoft.com/office/2006/metadata/properties" xmlns:ns2="1bfcffa5-dfb2-4782-b647-cd2f70c115a0" xmlns:ns3="24e96682-757b-44d1-a2ba-0188d0cc27f7" targetNamespace="http://schemas.microsoft.com/office/2006/metadata/properties" ma:root="true" ma:fieldsID="3385d51dc019b39c82b28c6eaf1b0b04" ns2:_="" ns3:_="">
    <xsd:import namespace="1bfcffa5-dfb2-4782-b647-cd2f70c115a0"/>
    <xsd:import namespace="24e96682-757b-44d1-a2ba-0188d0cc27f7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SearchProperties" minOccurs="0"/>
                <xsd:element ref="ns2:Foto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fcffa5-dfb2-4782-b647-cd2f70c115a0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Bildmarkierungen" ma:readOnly="false" ma:fieldId="{5cf76f15-5ced-4ddc-b409-7134ff3c332f}" ma:taxonomyMulti="true" ma:sspId="6927bd93-6433-4ff8-b2c3-9170d3f378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otos" ma:index="19" nillable="true" ma:displayName="Fotos" ma:description="https://hmqoucd.sharepoint.com/:f:/s/Biogas.orgWebsite/EhdUtQpO9LBEte_cz04ASXMBI3BZoDyxqDbJPOpzLOE7JQ?e=vvZBAR" ma:format="Hyperlink" ma:internalName="Fotos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e96682-757b-44d1-a2ba-0188d0cc27f7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bfb225ba-14c8-4c17-831e-e6553d30ae1a}" ma:internalName="TaxCatchAll" ma:showField="CatchAllData" ma:web="24e96682-757b-44d1-a2ba-0188d0cc27f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bfcffa5-dfb2-4782-b647-cd2f70c115a0">
      <Terms xmlns="http://schemas.microsoft.com/office/infopath/2007/PartnerControls"/>
    </lcf76f155ced4ddcb4097134ff3c332f>
    <Fotos xmlns="1bfcffa5-dfb2-4782-b647-cd2f70c115a0">
      <Url xsi:nil="true"/>
      <Description xsi:nil="true"/>
    </Fotos>
    <TaxCatchAll xmlns="24e96682-757b-44d1-a2ba-0188d0cc27f7" xsi:nil="true"/>
  </documentManagement>
</p:properties>
</file>

<file path=customXml/itemProps1.xml><?xml version="1.0" encoding="utf-8"?>
<ds:datastoreItem xmlns:ds="http://schemas.openxmlformats.org/officeDocument/2006/customXml" ds:itemID="{E12925D8-CA7B-44D4-9F01-92EB62D68431}"/>
</file>

<file path=customXml/itemProps2.xml><?xml version="1.0" encoding="utf-8"?>
<ds:datastoreItem xmlns:ds="http://schemas.openxmlformats.org/officeDocument/2006/customXml" ds:itemID="{F7BD74D4-A3EB-48EF-A1B0-FA44D71C55AE}"/>
</file>

<file path=customXml/itemProps3.xml><?xml version="1.0" encoding="utf-8"?>
<ds:datastoreItem xmlns:ds="http://schemas.openxmlformats.org/officeDocument/2006/customXml" ds:itemID="{E2AEAE4B-6105-4626-9DF0-81B4ECA7C537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</vt:i4>
      </vt:variant>
    </vt:vector>
  </HeadingPairs>
  <TitlesOfParts>
    <vt:vector size="9" baseType="lpstr">
      <vt:lpstr>THG-Rechner Einzelanlage</vt:lpstr>
      <vt:lpstr>Einsparung Branche</vt:lpstr>
      <vt:lpstr>Einsparung Anlage abgeleitet</vt:lpstr>
      <vt:lpstr>Nebenrechungen</vt:lpstr>
      <vt:lpstr>Quellen </vt:lpstr>
      <vt:lpstr>Umrechnung Anteile</vt:lpstr>
      <vt:lpstr>Allokationsformel Strom &amp; Wärme</vt:lpstr>
      <vt:lpstr>Calculation example for biogas </vt:lpstr>
      <vt:lpstr>'THG-Rechner Einzelanlage'!Druckbereich</vt:lpstr>
    </vt:vector>
  </TitlesOfParts>
  <Company>Fachverband Biogas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Rauh (Fachverband Biogas e.V.)</dc:creator>
  <cp:lastModifiedBy>Stefan Rauh</cp:lastModifiedBy>
  <cp:lastPrinted>2017-07-05T12:10:40Z</cp:lastPrinted>
  <dcterms:created xsi:type="dcterms:W3CDTF">2010-07-14T11:29:09Z</dcterms:created>
  <dcterms:modified xsi:type="dcterms:W3CDTF">2023-10-10T14:17:00Z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0x0101003DA61EC0C6EF48409FBA051BB962B3E7</vt:lpwstr>
  </property>
</Properties>
</file>